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709"/>
  <workbookPr/>
  <mc:AlternateContent xmlns:mc="http://schemas.openxmlformats.org/markup-compatibility/2006">
    <mc:Choice Requires="x15">
      <x15ac:absPath xmlns:x15ac="http://schemas.microsoft.com/office/spreadsheetml/2010/11/ac" url="/Users/tessburke/Desktop/Updated Spreadsheets May 25/"/>
    </mc:Choice>
  </mc:AlternateContent>
  <bookViews>
    <workbookView xWindow="2180" yWindow="780" windowWidth="34540" windowHeight="18600" activeTab="1"/>
  </bookViews>
  <sheets>
    <sheet name="PSAC Data" sheetId="1" r:id="rId1"/>
    <sheet name="Deep Well Injection" sheetId="4" r:id="rId2"/>
    <sheet name="No Deep Well Injection" sheetId="5" r:id="rId3"/>
  </sheets>
  <definedNames>
    <definedName name="_xlnm.Print_Titles" localSheetId="0">'PSAC Data'!$1:$1</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5" i="5" l="1"/>
  <c r="G3" i="1"/>
  <c r="I3" i="1"/>
  <c r="G4" i="1"/>
  <c r="I4" i="1"/>
  <c r="G5" i="1"/>
  <c r="I5" i="1"/>
  <c r="G6" i="1"/>
  <c r="I6" i="1"/>
  <c r="I7" i="1"/>
  <c r="B48" i="5"/>
  <c r="D48" i="5"/>
  <c r="G9" i="1"/>
  <c r="I9" i="1"/>
  <c r="G10" i="1"/>
  <c r="I10" i="1"/>
  <c r="G11" i="1"/>
  <c r="I11" i="1"/>
  <c r="G12" i="1"/>
  <c r="I12" i="1"/>
  <c r="G13" i="1"/>
  <c r="I13" i="1"/>
  <c r="G14" i="1"/>
  <c r="I14" i="1"/>
  <c r="G15" i="1"/>
  <c r="I15" i="1"/>
  <c r="G16" i="1"/>
  <c r="I16" i="1"/>
  <c r="G17" i="1"/>
  <c r="I17" i="1"/>
  <c r="I18" i="1"/>
  <c r="B49" i="5"/>
  <c r="D49" i="5"/>
  <c r="G20" i="1"/>
  <c r="I20" i="1"/>
  <c r="G21" i="1"/>
  <c r="I21" i="1"/>
  <c r="G22" i="1"/>
  <c r="I22" i="1"/>
  <c r="G23" i="1"/>
  <c r="I23" i="1"/>
  <c r="G24" i="1"/>
  <c r="I24" i="1"/>
  <c r="G25" i="1"/>
  <c r="I25" i="1"/>
  <c r="G26" i="1"/>
  <c r="I26" i="1"/>
  <c r="G27" i="1"/>
  <c r="I27" i="1"/>
  <c r="G28" i="1"/>
  <c r="I28" i="1"/>
  <c r="G29" i="1"/>
  <c r="I29" i="1"/>
  <c r="G30" i="1"/>
  <c r="I30" i="1"/>
  <c r="G31" i="1"/>
  <c r="I31" i="1"/>
  <c r="G32" i="1"/>
  <c r="I32" i="1"/>
  <c r="G33" i="1"/>
  <c r="I33" i="1"/>
  <c r="G34" i="1"/>
  <c r="I34" i="1"/>
  <c r="I35" i="1"/>
  <c r="B50" i="5"/>
  <c r="D50" i="5"/>
  <c r="G37" i="1"/>
  <c r="I37" i="1"/>
  <c r="G38" i="1"/>
  <c r="I38" i="1"/>
  <c r="G39" i="1"/>
  <c r="I39" i="1"/>
  <c r="G40" i="1"/>
  <c r="I40" i="1"/>
  <c r="G41" i="1"/>
  <c r="I41" i="1"/>
  <c r="G42" i="1"/>
  <c r="I42" i="1"/>
  <c r="G43" i="1"/>
  <c r="I43" i="1"/>
  <c r="G44" i="1"/>
  <c r="I44" i="1"/>
  <c r="I45" i="1"/>
  <c r="B51" i="5"/>
  <c r="D51" i="5"/>
  <c r="G47" i="1"/>
  <c r="I47" i="1"/>
  <c r="G48" i="1"/>
  <c r="I48" i="1"/>
  <c r="G49" i="1"/>
  <c r="I49" i="1"/>
  <c r="G50" i="1"/>
  <c r="I50" i="1"/>
  <c r="G51" i="1"/>
  <c r="I51" i="1"/>
  <c r="G52" i="1"/>
  <c r="I52" i="1"/>
  <c r="G53" i="1"/>
  <c r="I53" i="1"/>
  <c r="G54" i="1"/>
  <c r="I54" i="1"/>
  <c r="G55" i="1"/>
  <c r="I55" i="1"/>
  <c r="G56" i="1"/>
  <c r="I56" i="1"/>
  <c r="G57" i="1"/>
  <c r="I57" i="1"/>
  <c r="G58" i="1"/>
  <c r="I58" i="1"/>
  <c r="G59" i="1"/>
  <c r="I59" i="1"/>
  <c r="G60" i="1"/>
  <c r="I60" i="1"/>
  <c r="G61" i="1"/>
  <c r="I61" i="1"/>
  <c r="G62" i="1"/>
  <c r="I62" i="1"/>
  <c r="G63" i="1"/>
  <c r="I63" i="1"/>
  <c r="G64" i="1"/>
  <c r="I64" i="1"/>
  <c r="G65" i="1"/>
  <c r="I65" i="1"/>
  <c r="G66" i="1"/>
  <c r="I66" i="1"/>
  <c r="I67" i="1"/>
  <c r="B52" i="5"/>
  <c r="D52" i="5"/>
  <c r="G69" i="1"/>
  <c r="I69" i="1"/>
  <c r="G70" i="1"/>
  <c r="I70" i="1"/>
  <c r="G71" i="1"/>
  <c r="I71" i="1"/>
  <c r="G72" i="1"/>
  <c r="I72" i="1"/>
  <c r="I73" i="1"/>
  <c r="G74" i="1"/>
  <c r="I74" i="1"/>
  <c r="G75" i="1"/>
  <c r="I75" i="1"/>
  <c r="G76" i="1"/>
  <c r="I76" i="1"/>
  <c r="G77" i="1"/>
  <c r="I77" i="1"/>
  <c r="I78" i="1"/>
  <c r="G79" i="1"/>
  <c r="I79" i="1"/>
  <c r="G80" i="1"/>
  <c r="I80" i="1"/>
  <c r="G81" i="1"/>
  <c r="I81" i="1"/>
  <c r="I82" i="1"/>
  <c r="I83" i="1"/>
  <c r="G84" i="1"/>
  <c r="I84" i="1"/>
  <c r="G85" i="1"/>
  <c r="I85" i="1"/>
  <c r="G86" i="1"/>
  <c r="I86" i="1"/>
  <c r="G87" i="1"/>
  <c r="I87" i="1"/>
  <c r="G88" i="1"/>
  <c r="I88" i="1"/>
  <c r="G89" i="1"/>
  <c r="I89" i="1"/>
  <c r="I90" i="1"/>
  <c r="B53" i="5"/>
  <c r="D53" i="5"/>
  <c r="G92" i="1"/>
  <c r="I92" i="1"/>
  <c r="G93" i="1"/>
  <c r="I93" i="1"/>
  <c r="G94" i="1"/>
  <c r="I94" i="1"/>
  <c r="G95" i="1"/>
  <c r="I95" i="1"/>
  <c r="G96" i="1"/>
  <c r="I96" i="1"/>
  <c r="I97" i="1"/>
  <c r="B54" i="5"/>
  <c r="D54" i="5"/>
  <c r="G99" i="1"/>
  <c r="I99" i="1"/>
  <c r="G100" i="1"/>
  <c r="I100" i="1"/>
  <c r="G101" i="1"/>
  <c r="I101" i="1"/>
  <c r="G102" i="1"/>
  <c r="I102" i="1"/>
  <c r="G103" i="1"/>
  <c r="I103" i="1"/>
  <c r="G104" i="1"/>
  <c r="I104" i="1"/>
  <c r="G105" i="1"/>
  <c r="I105" i="1"/>
  <c r="G106" i="1"/>
  <c r="I106" i="1"/>
  <c r="G107" i="1"/>
  <c r="I107" i="1"/>
  <c r="G108" i="1"/>
  <c r="I108" i="1"/>
  <c r="G109" i="1"/>
  <c r="I109" i="1"/>
  <c r="G110" i="1"/>
  <c r="I110" i="1"/>
  <c r="G111" i="1"/>
  <c r="I111" i="1"/>
  <c r="G112" i="1"/>
  <c r="I112" i="1"/>
  <c r="G113" i="1"/>
  <c r="I113" i="1"/>
  <c r="G114" i="1"/>
  <c r="I114" i="1"/>
  <c r="G115" i="1"/>
  <c r="I115" i="1"/>
  <c r="G116" i="1"/>
  <c r="I116" i="1"/>
  <c r="G117" i="1"/>
  <c r="I117" i="1"/>
  <c r="G118" i="1"/>
  <c r="I118" i="1"/>
  <c r="G119" i="1"/>
  <c r="I119" i="1"/>
  <c r="G120" i="1"/>
  <c r="I120" i="1"/>
  <c r="G121" i="1"/>
  <c r="I121" i="1"/>
  <c r="G122" i="1"/>
  <c r="I122" i="1"/>
  <c r="G123" i="1"/>
  <c r="I123" i="1"/>
  <c r="G124" i="1"/>
  <c r="I124" i="1"/>
  <c r="I125" i="1"/>
  <c r="B55" i="5"/>
  <c r="D55" i="5"/>
  <c r="B56" i="5"/>
  <c r="B58" i="5"/>
  <c r="D57" i="5"/>
  <c r="B59" i="5"/>
  <c r="D58" i="5"/>
  <c r="B60" i="5"/>
  <c r="D59" i="5"/>
  <c r="E48" i="5"/>
  <c r="F48" i="5"/>
  <c r="E49" i="5"/>
  <c r="F49" i="5"/>
  <c r="E50" i="5"/>
  <c r="F50" i="5"/>
  <c r="E51" i="5"/>
  <c r="F51" i="5"/>
  <c r="E52" i="5"/>
  <c r="F52" i="5"/>
  <c r="E53" i="5"/>
  <c r="F53" i="5"/>
  <c r="E54" i="5"/>
  <c r="F54" i="5"/>
  <c r="E55" i="5"/>
  <c r="F55" i="5"/>
  <c r="F61" i="5"/>
  <c r="G48" i="5"/>
  <c r="J7" i="1"/>
  <c r="H48" i="5"/>
  <c r="J48" i="5"/>
  <c r="K48" i="5"/>
  <c r="L48" i="5"/>
  <c r="M44" i="5"/>
  <c r="M48" i="5"/>
  <c r="O48" i="5"/>
  <c r="R48" i="5"/>
  <c r="N48" i="5"/>
  <c r="P48" i="5"/>
  <c r="T48" i="5"/>
  <c r="V48" i="5"/>
  <c r="G49" i="5"/>
  <c r="J9" i="1"/>
  <c r="J10" i="1"/>
  <c r="J13" i="1"/>
  <c r="J15" i="1"/>
  <c r="J16" i="1"/>
  <c r="J17" i="1"/>
  <c r="J18" i="1"/>
  <c r="H49" i="5"/>
  <c r="J49" i="5"/>
  <c r="K49" i="5"/>
  <c r="L49" i="5"/>
  <c r="M49" i="5"/>
  <c r="O49" i="5"/>
  <c r="R49" i="5"/>
  <c r="N49" i="5"/>
  <c r="P49" i="5"/>
  <c r="T49" i="5"/>
  <c r="V49" i="5"/>
  <c r="G50" i="5"/>
  <c r="J20" i="1"/>
  <c r="J22" i="1"/>
  <c r="J23" i="1"/>
  <c r="J26" i="1"/>
  <c r="J34" i="1"/>
  <c r="J35" i="1"/>
  <c r="H50" i="5"/>
  <c r="J50" i="5"/>
  <c r="K50" i="5"/>
  <c r="L50" i="5"/>
  <c r="M50" i="5"/>
  <c r="O50" i="5"/>
  <c r="R50" i="5"/>
  <c r="N50" i="5"/>
  <c r="P50" i="5"/>
  <c r="T50" i="5"/>
  <c r="V50" i="5"/>
  <c r="G51" i="5"/>
  <c r="H51" i="5"/>
  <c r="J51" i="5"/>
  <c r="K51" i="5"/>
  <c r="L51" i="5"/>
  <c r="M51" i="5"/>
  <c r="O51" i="5"/>
  <c r="R51" i="5"/>
  <c r="N51" i="5"/>
  <c r="P51" i="5"/>
  <c r="T51" i="5"/>
  <c r="V51" i="5"/>
  <c r="G52" i="5"/>
  <c r="J53" i="1"/>
  <c r="J59" i="1"/>
  <c r="J60" i="1"/>
  <c r="J61" i="1"/>
  <c r="J65" i="1"/>
  <c r="J66" i="1"/>
  <c r="J67" i="1"/>
  <c r="H52" i="5"/>
  <c r="J52" i="5"/>
  <c r="K52" i="5"/>
  <c r="L52" i="5"/>
  <c r="M52" i="5"/>
  <c r="O52" i="5"/>
  <c r="R52" i="5"/>
  <c r="N52" i="5"/>
  <c r="P52" i="5"/>
  <c r="T52" i="5"/>
  <c r="V52" i="5"/>
  <c r="G53" i="5"/>
  <c r="J69" i="1"/>
  <c r="J71" i="1"/>
  <c r="J74" i="1"/>
  <c r="J76" i="1"/>
  <c r="J79" i="1"/>
  <c r="J81" i="1"/>
  <c r="J86" i="1"/>
  <c r="J90" i="1"/>
  <c r="H53" i="5"/>
  <c r="J53" i="5"/>
  <c r="K53" i="5"/>
  <c r="L53" i="5"/>
  <c r="M53" i="5"/>
  <c r="O53" i="5"/>
  <c r="R53" i="5"/>
  <c r="N53" i="5"/>
  <c r="P53" i="5"/>
  <c r="T53" i="5"/>
  <c r="V53" i="5"/>
  <c r="G54" i="5"/>
  <c r="J92" i="1"/>
  <c r="J93" i="1"/>
  <c r="J97" i="1"/>
  <c r="H54" i="5"/>
  <c r="J54" i="5"/>
  <c r="K54" i="5"/>
  <c r="L54" i="5"/>
  <c r="M54" i="5"/>
  <c r="O54" i="5"/>
  <c r="R54" i="5"/>
  <c r="N54" i="5"/>
  <c r="P54" i="5"/>
  <c r="T54" i="5"/>
  <c r="V54" i="5"/>
  <c r="G55" i="5"/>
  <c r="J116" i="1"/>
  <c r="J117" i="1"/>
  <c r="J118" i="1"/>
  <c r="J119" i="1"/>
  <c r="J120" i="1"/>
  <c r="J121" i="1"/>
  <c r="J122" i="1"/>
  <c r="J123" i="1"/>
  <c r="J125" i="1"/>
  <c r="H55" i="5"/>
  <c r="J55" i="5"/>
  <c r="K55" i="5"/>
  <c r="L55" i="5"/>
  <c r="M55" i="5"/>
  <c r="O55" i="5"/>
  <c r="R55" i="5"/>
  <c r="N55" i="5"/>
  <c r="P55" i="5"/>
  <c r="T55" i="5"/>
  <c r="V55" i="5"/>
  <c r="V61" i="5"/>
  <c r="F67" i="5"/>
  <c r="Q48" i="5"/>
  <c r="S48" i="5"/>
  <c r="U48" i="5"/>
  <c r="Q49" i="5"/>
  <c r="S49" i="5"/>
  <c r="U49" i="5"/>
  <c r="Q50" i="5"/>
  <c r="S50" i="5"/>
  <c r="U50" i="5"/>
  <c r="Q51" i="5"/>
  <c r="S51" i="5"/>
  <c r="U51" i="5"/>
  <c r="Q52" i="5"/>
  <c r="S52" i="5"/>
  <c r="U52" i="5"/>
  <c r="Q53" i="5"/>
  <c r="S53" i="5"/>
  <c r="U53" i="5"/>
  <c r="Q54" i="5"/>
  <c r="S54" i="5"/>
  <c r="U54" i="5"/>
  <c r="Q55" i="5"/>
  <c r="S55" i="5"/>
  <c r="U55" i="5"/>
  <c r="U61" i="5"/>
  <c r="E67" i="5"/>
  <c r="B99" i="5"/>
  <c r="B98" i="5"/>
  <c r="B97" i="5"/>
  <c r="B96" i="5"/>
  <c r="B95" i="5"/>
  <c r="D95" i="5"/>
  <c r="E95" i="5"/>
  <c r="F95" i="5"/>
  <c r="B94" i="5"/>
  <c r="B93" i="5"/>
  <c r="B92" i="5"/>
  <c r="B91" i="5"/>
  <c r="B90" i="5"/>
  <c r="B89" i="5"/>
  <c r="B88" i="5"/>
  <c r="B87" i="5"/>
  <c r="D87" i="5"/>
  <c r="B80" i="5"/>
  <c r="B79" i="5"/>
  <c r="C79" i="5"/>
  <c r="D79" i="5"/>
  <c r="B78" i="5"/>
  <c r="C78" i="5"/>
  <c r="D78" i="5"/>
  <c r="B77" i="5"/>
  <c r="C77" i="5"/>
  <c r="D77" i="5"/>
  <c r="B76" i="5"/>
  <c r="B75" i="5"/>
  <c r="B74" i="5"/>
  <c r="C74" i="5"/>
  <c r="D74" i="5"/>
  <c r="B73" i="5"/>
  <c r="B72" i="5"/>
  <c r="C72" i="5"/>
  <c r="D72" i="5"/>
  <c r="B67" i="5"/>
  <c r="D94" i="5"/>
  <c r="E94" i="5"/>
  <c r="F94" i="5"/>
  <c r="D91" i="5"/>
  <c r="E91" i="5"/>
  <c r="F91" i="5"/>
  <c r="D90" i="5"/>
  <c r="E90" i="5"/>
  <c r="F90" i="5"/>
  <c r="D89" i="5"/>
  <c r="E89" i="5"/>
  <c r="F89" i="5"/>
  <c r="C80" i="5"/>
  <c r="D80" i="5"/>
  <c r="C76" i="5"/>
  <c r="D76" i="5"/>
  <c r="C75" i="5"/>
  <c r="D75" i="5"/>
  <c r="C73" i="5"/>
  <c r="D73" i="5"/>
  <c r="I55" i="5"/>
  <c r="C55" i="5"/>
  <c r="I54" i="5"/>
  <c r="C54" i="5"/>
  <c r="I53" i="5"/>
  <c r="I52" i="5"/>
  <c r="C52" i="5"/>
  <c r="I51" i="5"/>
  <c r="C51" i="5"/>
  <c r="I50" i="5"/>
  <c r="C50" i="5"/>
  <c r="I49" i="5"/>
  <c r="I48" i="5"/>
  <c r="C48" i="5"/>
  <c r="N44" i="5"/>
  <c r="C35" i="5"/>
  <c r="B35" i="5"/>
  <c r="C19" i="5"/>
  <c r="B19" i="5"/>
  <c r="B98" i="4"/>
  <c r="D98" i="4"/>
  <c r="E98" i="4"/>
  <c r="F98" i="4"/>
  <c r="B97" i="4"/>
  <c r="D97" i="4"/>
  <c r="E97" i="4"/>
  <c r="F97" i="4"/>
  <c r="B90" i="4"/>
  <c r="D90" i="4"/>
  <c r="E90" i="4"/>
  <c r="B102" i="4"/>
  <c r="B101" i="4"/>
  <c r="B100" i="4"/>
  <c r="B99" i="4"/>
  <c r="B96" i="4"/>
  <c r="B95" i="4"/>
  <c r="B94" i="4"/>
  <c r="D94" i="4"/>
  <c r="E94" i="4"/>
  <c r="F94" i="4"/>
  <c r="B93" i="4"/>
  <c r="D93" i="4"/>
  <c r="E93" i="4"/>
  <c r="F93" i="4"/>
  <c r="B92" i="4"/>
  <c r="B91" i="4"/>
  <c r="B81" i="4"/>
  <c r="C81" i="4"/>
  <c r="D81" i="4"/>
  <c r="B80" i="4"/>
  <c r="C80" i="4"/>
  <c r="D80" i="4"/>
  <c r="B83" i="4"/>
  <c r="C83" i="4"/>
  <c r="D83" i="4"/>
  <c r="E83" i="4"/>
  <c r="B77" i="4"/>
  <c r="C77" i="4"/>
  <c r="D77" i="4"/>
  <c r="B82" i="4"/>
  <c r="C82" i="4"/>
  <c r="D82" i="4"/>
  <c r="E82" i="4"/>
  <c r="B79" i="4"/>
  <c r="C79" i="4"/>
  <c r="D79" i="4"/>
  <c r="B78" i="4"/>
  <c r="C78" i="4"/>
  <c r="D78" i="4"/>
  <c r="E78" i="4"/>
  <c r="B76" i="4"/>
  <c r="C76" i="4"/>
  <c r="D76" i="4"/>
  <c r="B75" i="4"/>
  <c r="C75" i="4"/>
  <c r="D75" i="4"/>
  <c r="M47" i="4"/>
  <c r="N47" i="4"/>
  <c r="B70" i="4"/>
  <c r="H54" i="4"/>
  <c r="I54" i="4"/>
  <c r="C38" i="4"/>
  <c r="B38" i="4"/>
  <c r="C22" i="4"/>
  <c r="B22" i="4"/>
  <c r="B48" i="4"/>
  <c r="D83" i="5"/>
  <c r="F72" i="5"/>
  <c r="E72" i="5"/>
  <c r="F77" i="5"/>
  <c r="E77" i="5"/>
  <c r="F80" i="5"/>
  <c r="E80" i="5"/>
  <c r="C49" i="5"/>
  <c r="E74" i="5"/>
  <c r="F74" i="5"/>
  <c r="F79" i="5"/>
  <c r="E79" i="5"/>
  <c r="F75" i="5"/>
  <c r="E75" i="5"/>
  <c r="E78" i="5"/>
  <c r="F78" i="5"/>
  <c r="D100" i="5"/>
  <c r="E87" i="5"/>
  <c r="F73" i="5"/>
  <c r="E73" i="5"/>
  <c r="F76" i="5"/>
  <c r="E76" i="5"/>
  <c r="C53" i="5"/>
  <c r="B100" i="5"/>
  <c r="F90" i="4"/>
  <c r="D92" i="4"/>
  <c r="E92" i="4"/>
  <c r="F92" i="4"/>
  <c r="F103" i="4"/>
  <c r="B43" i="4"/>
  <c r="E103" i="4"/>
  <c r="B42" i="4"/>
  <c r="E80" i="4"/>
  <c r="F80" i="4"/>
  <c r="F75" i="4"/>
  <c r="E75" i="4"/>
  <c r="F81" i="4"/>
  <c r="E81" i="4"/>
  <c r="F77" i="4"/>
  <c r="E77" i="4"/>
  <c r="B103" i="4"/>
  <c r="D103" i="4"/>
  <c r="E79" i="4"/>
  <c r="F79" i="4"/>
  <c r="D86" i="4"/>
  <c r="F76" i="4"/>
  <c r="E76" i="4"/>
  <c r="F78" i="4"/>
  <c r="F82" i="4"/>
  <c r="F83" i="4"/>
  <c r="C56" i="5"/>
  <c r="D61" i="5"/>
  <c r="E100" i="5"/>
  <c r="B39" i="5"/>
  <c r="F87" i="5"/>
  <c r="F100" i="5"/>
  <c r="B40" i="5"/>
  <c r="E83" i="5"/>
  <c r="F83" i="5"/>
  <c r="E86" i="4"/>
  <c r="F86" i="4"/>
  <c r="C58" i="5"/>
  <c r="C59" i="5"/>
  <c r="C60" i="5"/>
  <c r="C61" i="5"/>
  <c r="B61" i="5"/>
  <c r="E61" i="5"/>
  <c r="G61" i="5"/>
  <c r="J61" i="5"/>
  <c r="C67" i="5"/>
  <c r="K61" i="5"/>
  <c r="D67" i="5"/>
  <c r="L61" i="5"/>
  <c r="M61" i="5"/>
  <c r="G97" i="1"/>
  <c r="G90" i="1"/>
  <c r="G67" i="1"/>
  <c r="G45" i="1"/>
  <c r="G35" i="1"/>
  <c r="G18" i="1"/>
  <c r="G125" i="1"/>
  <c r="G7" i="1"/>
  <c r="N61" i="5"/>
  <c r="O61" i="5"/>
  <c r="B55" i="4"/>
  <c r="H55" i="4"/>
  <c r="I55" i="4"/>
  <c r="B58" i="4"/>
  <c r="B53" i="4"/>
  <c r="H53" i="4"/>
  <c r="I53" i="4"/>
  <c r="B54" i="4"/>
  <c r="B51" i="4"/>
  <c r="B57" i="4"/>
  <c r="H57" i="4"/>
  <c r="I57" i="4"/>
  <c r="B56" i="4"/>
  <c r="H56" i="4"/>
  <c r="I56" i="4"/>
  <c r="B52" i="4"/>
  <c r="H51" i="4"/>
  <c r="I51" i="4"/>
  <c r="I128" i="1"/>
  <c r="I131" i="1"/>
  <c r="I130" i="1"/>
  <c r="I132" i="1"/>
  <c r="G128" i="1"/>
  <c r="Q61" i="5"/>
  <c r="R61" i="5"/>
  <c r="P61" i="5"/>
  <c r="T61" i="5"/>
  <c r="S61" i="5"/>
  <c r="H52" i="4"/>
  <c r="I52" i="4"/>
  <c r="C51" i="4"/>
  <c r="D51" i="4"/>
  <c r="B59" i="4"/>
  <c r="D52" i="4"/>
  <c r="C52" i="4"/>
  <c r="C56" i="4"/>
  <c r="D56" i="4"/>
  <c r="D57" i="4"/>
  <c r="C57" i="4"/>
  <c r="H58" i="4"/>
  <c r="I58" i="4"/>
  <c r="D54" i="4"/>
  <c r="C54" i="4"/>
  <c r="D53" i="4"/>
  <c r="C53" i="4"/>
  <c r="D58" i="4"/>
  <c r="C58" i="4"/>
  <c r="D55" i="4"/>
  <c r="C55" i="4"/>
  <c r="I134" i="1"/>
  <c r="I137" i="1"/>
  <c r="G130" i="1"/>
  <c r="G132" i="1"/>
  <c r="G131" i="1"/>
  <c r="C59" i="4"/>
  <c r="B61" i="4"/>
  <c r="D60" i="4"/>
  <c r="B63" i="4"/>
  <c r="D62" i="4"/>
  <c r="B62" i="4"/>
  <c r="D61" i="4"/>
  <c r="E52" i="4"/>
  <c r="F52" i="4"/>
  <c r="G134" i="1"/>
  <c r="B38" i="5"/>
  <c r="B37" i="5"/>
  <c r="E53" i="4"/>
  <c r="F53" i="4"/>
  <c r="E51" i="4"/>
  <c r="F51" i="4"/>
  <c r="D64" i="4"/>
  <c r="E58" i="4"/>
  <c r="F58" i="4"/>
  <c r="E54" i="4"/>
  <c r="F54" i="4"/>
  <c r="B64" i="4"/>
  <c r="C61" i="4"/>
  <c r="C63" i="4"/>
  <c r="C62" i="4"/>
  <c r="E57" i="4"/>
  <c r="F57" i="4"/>
  <c r="E55" i="4"/>
  <c r="F55" i="4"/>
  <c r="E56" i="4"/>
  <c r="F56" i="4"/>
  <c r="E64" i="4"/>
  <c r="C64" i="4"/>
  <c r="F64" i="4"/>
  <c r="G57" i="4"/>
  <c r="J57" i="4"/>
  <c r="K57" i="4"/>
  <c r="L57" i="4"/>
  <c r="G56" i="4"/>
  <c r="J56" i="4"/>
  <c r="K56" i="4"/>
  <c r="L56" i="4"/>
  <c r="G58" i="4"/>
  <c r="J58" i="4"/>
  <c r="K58" i="4"/>
  <c r="L58" i="4"/>
  <c r="G53" i="4"/>
  <c r="J53" i="4"/>
  <c r="K53" i="4"/>
  <c r="L53" i="4"/>
  <c r="G51" i="4"/>
  <c r="G52" i="4"/>
  <c r="J52" i="4"/>
  <c r="K52" i="4"/>
  <c r="L52" i="4"/>
  <c r="G55" i="4"/>
  <c r="J55" i="4"/>
  <c r="K55" i="4"/>
  <c r="L55" i="4"/>
  <c r="G54" i="4"/>
  <c r="J54" i="4"/>
  <c r="K54" i="4"/>
  <c r="L54" i="4"/>
  <c r="M54" i="4"/>
  <c r="O54" i="4"/>
  <c r="M53" i="4"/>
  <c r="O53" i="4"/>
  <c r="M55" i="4"/>
  <c r="O55" i="4"/>
  <c r="M58" i="4"/>
  <c r="O58" i="4"/>
  <c r="N58" i="4"/>
  <c r="P58" i="4"/>
  <c r="M52" i="4"/>
  <c r="O52" i="4"/>
  <c r="M56" i="4"/>
  <c r="O56" i="4"/>
  <c r="N56" i="4"/>
  <c r="P56" i="4"/>
  <c r="J51" i="4"/>
  <c r="G64" i="4"/>
  <c r="M57" i="4"/>
  <c r="O57" i="4"/>
  <c r="N57" i="4"/>
  <c r="P57" i="4"/>
  <c r="N53" i="4"/>
  <c r="P53" i="4"/>
  <c r="R55" i="4"/>
  <c r="Q55" i="4"/>
  <c r="T57" i="4"/>
  <c r="R57" i="4"/>
  <c r="V57" i="4"/>
  <c r="S57" i="4"/>
  <c r="T56" i="4"/>
  <c r="S56" i="4"/>
  <c r="T58" i="4"/>
  <c r="S58" i="4"/>
  <c r="T53" i="4"/>
  <c r="S53" i="4"/>
  <c r="Q52" i="4"/>
  <c r="R52" i="4"/>
  <c r="R54" i="4"/>
  <c r="Q54" i="4"/>
  <c r="Q57" i="4"/>
  <c r="R56" i="4"/>
  <c r="Q56" i="4"/>
  <c r="Q58" i="4"/>
  <c r="U58" i="4"/>
  <c r="R58" i="4"/>
  <c r="V58" i="4"/>
  <c r="R53" i="4"/>
  <c r="V53" i="4"/>
  <c r="Q53" i="4"/>
  <c r="U53" i="4"/>
  <c r="J64" i="4"/>
  <c r="C70" i="4"/>
  <c r="K51" i="4"/>
  <c r="N52" i="4"/>
  <c r="P52" i="4"/>
  <c r="N55" i="4"/>
  <c r="P55" i="4"/>
  <c r="N54" i="4"/>
  <c r="P54" i="4"/>
  <c r="V56" i="4"/>
  <c r="S54" i="4"/>
  <c r="T54" i="4"/>
  <c r="U54" i="4"/>
  <c r="S55" i="4"/>
  <c r="U55" i="4"/>
  <c r="T55" i="4"/>
  <c r="V55" i="4"/>
  <c r="V54" i="4"/>
  <c r="K64" i="4"/>
  <c r="D70" i="4"/>
  <c r="L51" i="4"/>
  <c r="U56" i="4"/>
  <c r="S52" i="4"/>
  <c r="T52" i="4"/>
  <c r="V52" i="4"/>
  <c r="U52" i="4"/>
  <c r="U57" i="4"/>
  <c r="M51" i="4"/>
  <c r="N51" i="4"/>
  <c r="L64" i="4"/>
  <c r="P51" i="4"/>
  <c r="N64" i="4"/>
  <c r="O51" i="4"/>
  <c r="M64" i="4"/>
  <c r="T51" i="4"/>
  <c r="T64" i="4"/>
  <c r="P64" i="4"/>
  <c r="S51" i="4"/>
  <c r="S64" i="4"/>
  <c r="O64" i="4"/>
  <c r="R51" i="4"/>
  <c r="Q51" i="4"/>
  <c r="Q64" i="4"/>
  <c r="U51" i="4"/>
  <c r="U64" i="4"/>
  <c r="E70" i="4"/>
  <c r="B40" i="4"/>
  <c r="R64" i="4"/>
  <c r="V51" i="4"/>
  <c r="V64" i="4"/>
  <c r="F70" i="4"/>
  <c r="B41" i="4"/>
</calcChain>
</file>

<file path=xl/comments1.xml><?xml version="1.0" encoding="utf-8"?>
<comments xmlns="http://schemas.openxmlformats.org/spreadsheetml/2006/main">
  <authors>
    <author>aadil</author>
  </authors>
  <commentList>
    <comment ref="I1" authorId="0">
      <text>
        <r>
          <rPr>
            <sz val="9"/>
            <color indexed="81"/>
            <rFont val="Tahoma"/>
            <family val="2"/>
          </rPr>
          <t>Assuming 12 wells per pad</t>
        </r>
      </text>
    </comment>
    <comment ref="C30" authorId="0">
      <text>
        <r>
          <rPr>
            <sz val="9"/>
            <color indexed="81"/>
            <rFont val="Tahoma"/>
            <family val="2"/>
          </rPr>
          <t>added</t>
        </r>
      </text>
    </comment>
  </commentList>
</comments>
</file>

<file path=xl/sharedStrings.xml><?xml version="1.0" encoding="utf-8"?>
<sst xmlns="http://schemas.openxmlformats.org/spreadsheetml/2006/main" count="734" uniqueCount="311">
  <si>
    <t>Operations, Services or Equipment</t>
  </si>
  <si>
    <t>#</t>
  </si>
  <si>
    <t>No. of Units</t>
  </si>
  <si>
    <t>Unit Type</t>
  </si>
  <si>
    <t>Cost Per Unit</t>
  </si>
  <si>
    <t>Comments and Detail</t>
  </si>
  <si>
    <t>Drilled and Cased</t>
  </si>
  <si>
    <t>Predrill and Planning</t>
  </si>
  <si>
    <t>Lease Acquisition</t>
  </si>
  <si>
    <t>Hectares</t>
  </si>
  <si>
    <t>Surface Lease Entry</t>
  </si>
  <si>
    <t>License Fees</t>
  </si>
  <si>
    <t>Each</t>
  </si>
  <si>
    <t>Per Well Fee</t>
  </si>
  <si>
    <t>Surveying</t>
  </si>
  <si>
    <t>Days</t>
  </si>
  <si>
    <t>Site and Plan</t>
  </si>
  <si>
    <t>Planning and Programs</t>
  </si>
  <si>
    <t>Hours</t>
  </si>
  <si>
    <t>Engineering and Programming</t>
  </si>
  <si>
    <t>Construction</t>
  </si>
  <si>
    <t>Road</t>
  </si>
  <si>
    <t>Kms</t>
  </si>
  <si>
    <t>Engineering and Construction</t>
  </si>
  <si>
    <t>Location</t>
  </si>
  <si>
    <t>Lease Maintenance</t>
  </si>
  <si>
    <t>Labour and Equipment</t>
  </si>
  <si>
    <t>Lease Cleanup</t>
  </si>
  <si>
    <t>Labour, Materials and Equipment</t>
  </si>
  <si>
    <t>Bridges / Culverts / Cattle Guards</t>
  </si>
  <si>
    <t>Standby Equipment</t>
  </si>
  <si>
    <t>Grader, Hoe, Cat</t>
  </si>
  <si>
    <t>Supervision</t>
  </si>
  <si>
    <t>Daily Rate incl. Sub and Exp</t>
  </si>
  <si>
    <t>Lease Reclamation</t>
  </si>
  <si>
    <t>Lease Reclamation Supervision</t>
  </si>
  <si>
    <t>Rig Contract</t>
  </si>
  <si>
    <t>Rig Move</t>
  </si>
  <si>
    <t>Loads</t>
  </si>
  <si>
    <t>$300/hr and 8 hr/100km/load</t>
  </si>
  <si>
    <t>Rig Permit</t>
  </si>
  <si>
    <t>As required by area</t>
  </si>
  <si>
    <t>Demob / Inter-well Move</t>
  </si>
  <si>
    <t>Rig-in Set Up Labour</t>
  </si>
  <si>
    <t>Move in, set up</t>
  </si>
  <si>
    <t>Daywork</t>
  </si>
  <si>
    <t>Rig rate from Spud to RR w/ drillpipe</t>
  </si>
  <si>
    <t>Loader</t>
  </si>
  <si>
    <t>Rig loader</t>
  </si>
  <si>
    <t>Additional Labour Costs</t>
  </si>
  <si>
    <t>Additional crew as required</t>
  </si>
  <si>
    <t>Camp</t>
  </si>
  <si>
    <t>Crew Days</t>
  </si>
  <si>
    <t xml:space="preserve">Camp / hotel including meals etc. </t>
  </si>
  <si>
    <t xml:space="preserve">CSA </t>
  </si>
  <si>
    <t>Crew Subsistence Allowance</t>
  </si>
  <si>
    <t>Crew Transportation</t>
  </si>
  <si>
    <t>Crew Truck, Mileage, Bus or Aircraft</t>
  </si>
  <si>
    <t>Boiler</t>
  </si>
  <si>
    <t>Basic rate fuel out</t>
  </si>
  <si>
    <t>Fuel</t>
  </si>
  <si>
    <t>Fuel Storage</t>
  </si>
  <si>
    <t>Additional fuel storage</t>
  </si>
  <si>
    <t>Standby</t>
  </si>
  <si>
    <t>Testing, logging, waiting on orders</t>
  </si>
  <si>
    <t>Water and Trucking</t>
  </si>
  <si>
    <t>Water access and supply</t>
  </si>
  <si>
    <t>Rentals</t>
  </si>
  <si>
    <t>Wellsite Trailer(s)</t>
  </si>
  <si>
    <t>Well site Unit rental</t>
  </si>
  <si>
    <t>Sump Pump(s)</t>
  </si>
  <si>
    <t>Centrifugal pump rental</t>
  </si>
  <si>
    <t>Surface Equipment</t>
  </si>
  <si>
    <t>Garbage bin, Pumps, Pason, Invert acc, etc</t>
  </si>
  <si>
    <t>Solids Control Equipment</t>
  </si>
  <si>
    <t>Cenrtiguge(s), BOS tank etc</t>
  </si>
  <si>
    <t>High Speed Mixer(s)</t>
  </si>
  <si>
    <t>High speed mixer, pill tank, lines</t>
  </si>
  <si>
    <t>Tank Rental</t>
  </si>
  <si>
    <t>Floc, Flare, 450 bbl tank etc</t>
  </si>
  <si>
    <t>Downhole Tool Rentals</t>
  </si>
  <si>
    <t>Perf Motors, subs, jars, stabilizers etc</t>
  </si>
  <si>
    <t>Drill string</t>
  </si>
  <si>
    <t>HWDP, Small inch drillpipe, etc.</t>
  </si>
  <si>
    <t>Service and Supplies</t>
  </si>
  <si>
    <t>Bits - Surface Hole</t>
  </si>
  <si>
    <t>Bit(s) required to drill surface hole</t>
  </si>
  <si>
    <t>Bits - Intermediate Hole</t>
  </si>
  <si>
    <t>Bit(s) required to drill intermediate hole</t>
  </si>
  <si>
    <t>Bits - Main Hole</t>
  </si>
  <si>
    <t>Bit(s) required to drill main hole</t>
  </si>
  <si>
    <t>Bits - Openhole</t>
  </si>
  <si>
    <t>N/A</t>
  </si>
  <si>
    <t>Surface Mud and Chemicals</t>
  </si>
  <si>
    <t>Cubic metre</t>
  </si>
  <si>
    <t>Cost per cubic metre water out</t>
  </si>
  <si>
    <t>Main Mud and Chemicals</t>
  </si>
  <si>
    <t>Mud Logging</t>
  </si>
  <si>
    <t>Daily rate - crew plus costs</t>
  </si>
  <si>
    <t>Drill Stem Tests</t>
  </si>
  <si>
    <t>Unit, crew, analysis, samples</t>
  </si>
  <si>
    <t>Cores Cut</t>
  </si>
  <si>
    <t>Equipment, crew, analysis</t>
  </si>
  <si>
    <t>Electric Logging - waiver</t>
  </si>
  <si>
    <t>m MD</t>
  </si>
  <si>
    <t>Cost per m logged all in</t>
  </si>
  <si>
    <t>Environmental Services</t>
  </si>
  <si>
    <t>Spray field sampling, reporting, etc</t>
  </si>
  <si>
    <t>Drilling Waste Management</t>
  </si>
  <si>
    <t>Cost per fluid samples and analysis</t>
  </si>
  <si>
    <t>Safety</t>
  </si>
  <si>
    <t>Daily Rate Crew and Equipment</t>
  </si>
  <si>
    <t>Directional Drilling Services</t>
  </si>
  <si>
    <t>Daily rate all in crews and tools</t>
  </si>
  <si>
    <t>Trucking</t>
  </si>
  <si>
    <t>Equipment and tool trucking</t>
  </si>
  <si>
    <t xml:space="preserve">Fluid and/or Cuttings Hauling </t>
  </si>
  <si>
    <t>Fluid hauling other than water</t>
  </si>
  <si>
    <t xml:space="preserve">Fluid and/or Cuttings Disposal </t>
  </si>
  <si>
    <t>Drilling fluid hauled for disposal</t>
  </si>
  <si>
    <t>Vacuum Truck (LSWD)</t>
  </si>
  <si>
    <t>Cost per day for Vac Truck</t>
  </si>
  <si>
    <t>Welding</t>
  </si>
  <si>
    <t>Cost per well</t>
  </si>
  <si>
    <t>Inspection and Repair</t>
  </si>
  <si>
    <t>Casing and Cementing</t>
  </si>
  <si>
    <t>Surface Casing</t>
  </si>
  <si>
    <t>Metres</t>
  </si>
  <si>
    <t>244.5 mm 53.57 kg/m J-55</t>
  </si>
  <si>
    <t>Attachments and Accessories</t>
  </si>
  <si>
    <t>Scratchers, centralisers, float equip</t>
  </si>
  <si>
    <t>Tongs</t>
  </si>
  <si>
    <t>Crew and Equipment</t>
  </si>
  <si>
    <t>Cement and Service</t>
  </si>
  <si>
    <t>Pumping, tonnage, additives</t>
  </si>
  <si>
    <t>Intermediate Casing</t>
  </si>
  <si>
    <t>177.8 mm 38.69 kg/m J-55</t>
  </si>
  <si>
    <t>Production Casing</t>
  </si>
  <si>
    <t>114.3 mm 20.09 kg/m P-110</t>
  </si>
  <si>
    <t>Liner</t>
  </si>
  <si>
    <t>Abandonment Cement</t>
  </si>
  <si>
    <t>Plugs</t>
  </si>
  <si>
    <t>Cement Plug Logging</t>
  </si>
  <si>
    <t>Run plug logs, all in</t>
  </si>
  <si>
    <t>Supervision and Administration</t>
  </si>
  <si>
    <t>Drilling Supervisor</t>
  </si>
  <si>
    <t>Drilling consultant rate all in</t>
  </si>
  <si>
    <t>Well Site Geologist</t>
  </si>
  <si>
    <t>Geological consultant rate all in</t>
  </si>
  <si>
    <t>Geological Rentals</t>
  </si>
  <si>
    <t>Gas detector etc</t>
  </si>
  <si>
    <t>Insurance</t>
  </si>
  <si>
    <t xml:space="preserve">Drilling insurance </t>
  </si>
  <si>
    <t>Communications</t>
  </si>
  <si>
    <t>Contingency @ 5 %</t>
  </si>
  <si>
    <t>Miscellaneous @ 2 %</t>
  </si>
  <si>
    <t>Y</t>
  </si>
  <si>
    <t>Wellhead</t>
  </si>
  <si>
    <t>Tubing</t>
  </si>
  <si>
    <t>Packers, Plugs, Retainers</t>
  </si>
  <si>
    <t>Service Rig - Coil Tubing Unit</t>
  </si>
  <si>
    <t>Day</t>
  </si>
  <si>
    <t>CSA</t>
  </si>
  <si>
    <t>Hauling and Trucking</t>
  </si>
  <si>
    <t>Vacuum Truck</t>
  </si>
  <si>
    <t>Completion Fluids and Chemicals</t>
  </si>
  <si>
    <t>Cubic Metre</t>
  </si>
  <si>
    <t>Surface Equipment Rentals</t>
  </si>
  <si>
    <t>Downhole Equipment Rentals</t>
  </si>
  <si>
    <t>Cased Hole Logs</t>
  </si>
  <si>
    <t>Perforating and Logging</t>
  </si>
  <si>
    <t>Wireline</t>
  </si>
  <si>
    <t>Runs</t>
  </si>
  <si>
    <t>Remedial Cementing</t>
  </si>
  <si>
    <t>Stimulation</t>
  </si>
  <si>
    <t>Completions Supervisor</t>
  </si>
  <si>
    <t>Inspection / Safety</t>
  </si>
  <si>
    <t>Environmental</t>
  </si>
  <si>
    <t>Lease and Road Maintenance</t>
  </si>
  <si>
    <t>Production Test</t>
  </si>
  <si>
    <t>Fluids Analysis</t>
  </si>
  <si>
    <t>Snubbing</t>
  </si>
  <si>
    <t>Nitrogen</t>
  </si>
  <si>
    <t>Completion and Testing</t>
  </si>
  <si>
    <t>Type and accessories</t>
  </si>
  <si>
    <t>60.3 mm 6.98 kg/m</t>
  </si>
  <si>
    <t xml:space="preserve">Anchors, packers, profiles, nipples etc </t>
  </si>
  <si>
    <t>Daily rig rate all in</t>
  </si>
  <si>
    <t>Basic day rate fuel in</t>
  </si>
  <si>
    <t>Subsistence and accommodation</t>
  </si>
  <si>
    <t>Mileage, bus or air</t>
  </si>
  <si>
    <t>Tubing and other equipment</t>
  </si>
  <si>
    <t>Rig days plus prod test days</t>
  </si>
  <si>
    <t>Reformate, KCl, MeOH</t>
  </si>
  <si>
    <t>Rotating heads, frac heads etc</t>
  </si>
  <si>
    <t>mud motors, packers, frac strings</t>
  </si>
  <si>
    <t>CBL etc.</t>
  </si>
  <si>
    <t>TCP/Csg guns</t>
  </si>
  <si>
    <t>Gauge ring, run and pull recorders</t>
  </si>
  <si>
    <t>Includes perforating, D/H tools etc</t>
  </si>
  <si>
    <t>N2 Energized Slickwater</t>
  </si>
  <si>
    <t>Daily rate all in</t>
  </si>
  <si>
    <t>Environmental, operational, government</t>
  </si>
  <si>
    <t>Technician</t>
  </si>
  <si>
    <t>Includes equipment, crews and analysis</t>
  </si>
  <si>
    <t>Oil, gas and water</t>
  </si>
  <si>
    <t>Unit and Crews</t>
  </si>
  <si>
    <t>N2 plus equip charges (of $8,000)</t>
  </si>
  <si>
    <t>Total</t>
  </si>
  <si>
    <t>Sub-Total</t>
  </si>
  <si>
    <t>For all Rigs?</t>
  </si>
  <si>
    <t>N</t>
  </si>
  <si>
    <t>Per Pad</t>
  </si>
  <si>
    <t>For 40 Pads (to nearest million):</t>
  </si>
  <si>
    <t>Overhead on Subtotal @ 2%</t>
  </si>
  <si>
    <t xml:space="preserve">Number of Wells Per Pad = </t>
  </si>
  <si>
    <t xml:space="preserve">Number of Pads = </t>
  </si>
  <si>
    <t xml:space="preserve">Total Number of Wells = </t>
  </si>
  <si>
    <t>Overhead @ 2%</t>
  </si>
  <si>
    <t xml:space="preserve">  Total Costs</t>
  </si>
  <si>
    <t xml:space="preserve">   Subtotal</t>
  </si>
  <si>
    <t>Disposal Well Drilling</t>
  </si>
  <si>
    <t>Production Well Drilling</t>
  </si>
  <si>
    <t>Central Processing Facilities &amp; Main Gathering Lines</t>
  </si>
  <si>
    <t>Central Storage &amp; Loading Facilities</t>
  </si>
  <si>
    <t>Field Oil and Gas Gathering Lines</t>
  </si>
  <si>
    <t>Treatment Facilities</t>
  </si>
  <si>
    <t>Main Processing Lines</t>
  </si>
  <si>
    <t>Lease and Install Electric Turbines</t>
  </si>
  <si>
    <t>Electrical Distribution</t>
  </si>
  <si>
    <t xml:space="preserve">Marine Termina; </t>
  </si>
  <si>
    <t>Pre-development Capex</t>
  </si>
  <si>
    <t>Total Capex</t>
  </si>
  <si>
    <t>Opex</t>
  </si>
  <si>
    <t>Field Oil Opex (Variable)</t>
  </si>
  <si>
    <t>Field Oil Opex (Fixed)</t>
  </si>
  <si>
    <t>Storage &amp; Loading Facilities Opex</t>
  </si>
  <si>
    <t>Well Opex</t>
  </si>
  <si>
    <t>Well Abandonment</t>
  </si>
  <si>
    <t>Field Opex Gas (Fixed)</t>
  </si>
  <si>
    <t>Field Opex Gas (Variable)</t>
  </si>
  <si>
    <t>Electricity Opex</t>
  </si>
  <si>
    <t>Total Opex</t>
  </si>
  <si>
    <t>transport cost  - flowback water from fracture simulation</t>
  </si>
  <si>
    <t>transport cost  - procution water to injection site</t>
  </si>
  <si>
    <t>Deep well injection costs</t>
  </si>
  <si>
    <t>Flowback and produced water - transport costs</t>
  </si>
  <si>
    <t>Flowback and produced water - treatment costs</t>
  </si>
  <si>
    <t>Contingency and Overhead</t>
  </si>
  <si>
    <t>Per Well Adjusted for</t>
  </si>
  <si>
    <t>480 Wells Adjusted for</t>
  </si>
  <si>
    <t>Marine Terminal</t>
  </si>
  <si>
    <t>Production Well Costs Per Pad (Based on PSAC Oct 2, 2015)</t>
  </si>
  <si>
    <t>Production Well Costs 40 Pads (Based on PSAC Oct 2, 2015)</t>
  </si>
  <si>
    <t>Implied Costs Per well (assuming 480 Wells)</t>
  </si>
  <si>
    <t>Newfoundland Costs Assumed by Panel</t>
  </si>
  <si>
    <t>CAPEX</t>
  </si>
  <si>
    <t>OPEX</t>
  </si>
  <si>
    <t>150 MM BBL - With Deep-well Injection of Waste Water</t>
  </si>
  <si>
    <t>150 MM BBL - Without Deep-well Injection of Waste Water</t>
  </si>
  <si>
    <t xml:space="preserve">Panel Developed Scenario </t>
  </si>
  <si>
    <t>Assumed Labour Shares for Production Wells</t>
  </si>
  <si>
    <t>(Based on PSAC breakdown)</t>
  </si>
  <si>
    <t>Assumed Materials and Equipment Shares</t>
  </si>
  <si>
    <t>(Residual = 1- Labour Share)</t>
  </si>
  <si>
    <t>Direct Person-Years of Employment</t>
  </si>
  <si>
    <t>Implied Labour Costs</t>
  </si>
  <si>
    <t>(Labour Share * Costs)</t>
  </si>
  <si>
    <r>
      <t>(Labour Costs</t>
    </r>
    <r>
      <rPr>
        <b/>
        <sz val="11"/>
        <color theme="1"/>
        <rFont val="Calibri"/>
        <family val="2"/>
      </rPr>
      <t>⁄</t>
    </r>
    <r>
      <rPr>
        <b/>
        <sz val="11"/>
        <color theme="1"/>
        <rFont val="Arial"/>
        <family val="2"/>
      </rPr>
      <t>$90,000)</t>
    </r>
  </si>
  <si>
    <r>
      <t>(PY</t>
    </r>
    <r>
      <rPr>
        <b/>
        <sz val="11"/>
        <color theme="1"/>
        <rFont val="Calibri"/>
        <family val="2"/>
      </rPr>
      <t>/</t>
    </r>
    <r>
      <rPr>
        <b/>
        <sz val="11"/>
        <color theme="1"/>
        <rFont val="Arial"/>
        <family val="2"/>
      </rPr>
      <t>480 wells)</t>
    </r>
  </si>
  <si>
    <t>PY Per Production Well</t>
  </si>
  <si>
    <t>Office Support PY Per Production Well</t>
  </si>
  <si>
    <t>Office Support PY for 480 Production Wells</t>
  </si>
  <si>
    <t>Field Workers PY Per Production Well</t>
  </si>
  <si>
    <t>Field Workers PY for 480 Production Wells</t>
  </si>
  <si>
    <t>(50% Assumed from Province)</t>
  </si>
  <si>
    <t>(10% assumed from Local Area)</t>
  </si>
  <si>
    <t>(20% Assumed from Province)</t>
  </si>
  <si>
    <t>Office Support from NL</t>
  </si>
  <si>
    <t>Office Support from Local Area</t>
  </si>
  <si>
    <t>Field Workers from NL</t>
  </si>
  <si>
    <t>Field Workers from Local Area</t>
  </si>
  <si>
    <t>Direct NL Office &amp; Field Workers - Production Wells</t>
  </si>
  <si>
    <t>Direct Local Area Office &amp; Field Workers - Production Wells</t>
  </si>
  <si>
    <t>Disposal Wells</t>
  </si>
  <si>
    <t>Direct Employment Calculations for Other Costs Categories in Panel`s Development Scenario</t>
  </si>
  <si>
    <t>Assumed Labour Costs</t>
  </si>
  <si>
    <t>(Based on prorated share from Production Wells Calculations)</t>
  </si>
  <si>
    <t>Assumed Direct Employment</t>
  </si>
  <si>
    <t>Assumed NL Direct Employment</t>
  </si>
  <si>
    <t>Assumed Local Area Direct Employment</t>
  </si>
  <si>
    <t>(based on PSAC study)</t>
  </si>
  <si>
    <t>(based on Consrtuction shares in NL - 30% unless stated otherwise)</t>
  </si>
  <si>
    <t>(Based on $75,000 per PY)</t>
  </si>
  <si>
    <t>(Based on 75% assumption)</t>
  </si>
  <si>
    <t>(Based on 25% assumption)</t>
  </si>
  <si>
    <t>CAPEX NL Direct Employment (PY)</t>
  </si>
  <si>
    <t>CAPEX Local Area Direct Employment (PY)</t>
  </si>
  <si>
    <t>OPEX Costs</t>
  </si>
  <si>
    <t>CAPEX Costs</t>
  </si>
  <si>
    <t>CAPEX Cost</t>
  </si>
  <si>
    <t>Assumed Labour Costs Shares</t>
  </si>
  <si>
    <t xml:space="preserve">Assumed Labour Costs </t>
  </si>
  <si>
    <t>(Based on $90,0000 per PY assumption)</t>
  </si>
  <si>
    <t>Assumed Local Area  Direct Employment</t>
  </si>
  <si>
    <t>(Based on 80% of NL assumption)</t>
  </si>
  <si>
    <t>OPEX NL Direct Employment (PY)</t>
  </si>
  <si>
    <t>OPEX Local Area Direct Employment (PY)</t>
  </si>
  <si>
    <r>
      <t>labour (Panel</t>
    </r>
    <r>
      <rPr>
        <b/>
        <sz val="12"/>
        <color theme="1"/>
        <rFont val="Calibri"/>
        <family val="2"/>
      </rPr>
      <t>’</t>
    </r>
    <r>
      <rPr>
        <b/>
        <sz val="12"/>
        <color theme="1"/>
        <rFont val="Arial"/>
        <family val="2"/>
      </rPr>
      <t>s Assumption)</t>
    </r>
  </si>
  <si>
    <t>THE COSTS TO DRILL, COMPLETE, AND TEST A WELL IS BASED ON INFORMATION PROVIDED BY THE PETROLEUM SERVICES ASSOCIATION OF CANADA (PSAC) AT THE REQUEST OF THE PANEL AND ADJUSTED TO REFLECT THE TOTAL PER WELL NL COST ESTIMATED BY THE DEPARTMENT OF NATURAL RESOURCES</t>
  </si>
  <si>
    <t>THIS SPREADSHEET WAS USED TO CALCUATE THE CAPITAL AND OPERATING EXPENDITURES AND THE DIRECT EMPLOYMENT IN THE PROVINCE AND IN THE STEPHENVILLE - PORT AU PORT LOCAL AREA FOR TABLES 30 AND 31 IN SECTION 9.3.3.3 OF THE PANEL'S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</si>
</sst>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44" formatCode="_(&quot;$&quot;* #,##0.00_);_(&quot;$&quot;* \(#,##0.00\);_(&quot;$&quot;* &quot;-&quot;??_);_(@_)"/>
    <numFmt numFmtId="43" formatCode="_(* #,##0.00_);_(* \(#,##0.00\);_(* &quot;-&quot;??_);_(@_)"/>
    <numFmt numFmtId="164" formatCode="&quot;$&quot;#,##0;\-&quot;$&quot;#,##0"/>
    <numFmt numFmtId="165" formatCode="&quot;$&quot;#,##0;[Red]\-&quot;$&quot;#,##0"/>
    <numFmt numFmtId="166" formatCode="_(&quot;$&quot;* #,##0_);_(&quot;$&quot;* \(#,##0\);_(&quot;$&quot;* &quot;-&quot;??_);_(@_)"/>
    <numFmt numFmtId="167" formatCode="_(* #,##0_);_(* \(#,##0\);_(* &quot;-&quot;??_);_(@_)"/>
    <numFmt numFmtId="168" formatCode="&quot;$&quot;#,##0"/>
    <numFmt numFmtId="169" formatCode="_-&quot;$&quot;* #,##0.0_-;\-&quot;$&quot;* #,##0.0_-;_-&quot;$&quot;* &quot;-&quot;?_-;_-@_-"/>
    <numFmt numFmtId="170" formatCode="0.0%"/>
    <numFmt numFmtId="171" formatCode="#,##0.0"/>
    <numFmt numFmtId="172" formatCode="#,##0_ ;[Red]\-#,##0\ "/>
  </numFmts>
  <fonts count="18" x14ac:knownFonts="1">
    <font>
      <sz val="10"/>
      <color theme="1"/>
      <name val="Arial"/>
      <family val="2"/>
    </font>
    <font>
      <sz val="10"/>
      <color theme="1"/>
      <name val="Arial"/>
      <family val="2"/>
    </font>
    <font>
      <sz val="12"/>
      <name val="Helv"/>
    </font>
    <font>
      <sz val="11"/>
      <color theme="1"/>
      <name val="Calibri"/>
      <family val="2"/>
      <scheme val="minor"/>
    </font>
    <font>
      <b/>
      <u/>
      <sz val="12"/>
      <name val="Arial"/>
      <family val="2"/>
    </font>
    <font>
      <b/>
      <sz val="12"/>
      <name val="Arial"/>
      <family val="2"/>
    </font>
    <font>
      <sz val="12"/>
      <name val="Arial"/>
      <family val="2"/>
    </font>
    <font>
      <sz val="12"/>
      <color theme="1"/>
      <name val="Arial"/>
      <family val="2"/>
    </font>
    <font>
      <sz val="9"/>
      <color indexed="81"/>
      <name val="Tahoma"/>
      <family val="2"/>
    </font>
    <font>
      <sz val="11"/>
      <color theme="1"/>
      <name val="Arial"/>
      <family val="2"/>
    </font>
    <font>
      <b/>
      <sz val="12"/>
      <color theme="1"/>
      <name val="Arial"/>
      <family val="2"/>
    </font>
    <font>
      <b/>
      <sz val="14"/>
      <color theme="1"/>
      <name val="Arial"/>
      <family val="2"/>
    </font>
    <font>
      <b/>
      <sz val="11"/>
      <color theme="1"/>
      <name val="Arial"/>
      <family val="2"/>
    </font>
    <font>
      <b/>
      <sz val="11"/>
      <color rgb="FFFF0000"/>
      <name val="Arial"/>
      <family val="2"/>
    </font>
    <font>
      <b/>
      <sz val="12"/>
      <color rgb="FFFF0000"/>
      <name val="Arial"/>
      <family val="2"/>
    </font>
    <font>
      <b/>
      <sz val="11"/>
      <color theme="1"/>
      <name val="Calibri"/>
      <family val="2"/>
    </font>
    <font>
      <b/>
      <sz val="12"/>
      <color theme="1"/>
      <name val="Calibri"/>
      <family val="2"/>
    </font>
    <font>
      <b/>
      <sz val="16"/>
      <color theme="1"/>
      <name val="Arial"/>
      <charset val="161"/>
    </font>
  </fonts>
  <fills count="16">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00B050"/>
        <bgColor indexed="64"/>
      </patternFill>
    </fill>
    <fill>
      <patternFill patternType="solid">
        <fgColor theme="7" tint="0.59999389629810485"/>
        <bgColor indexed="64"/>
      </patternFill>
    </fill>
    <fill>
      <patternFill patternType="solid">
        <fgColor theme="9"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thin">
        <color auto="1"/>
      </bottom>
      <diagonal/>
    </border>
    <border>
      <left style="thin">
        <color auto="1"/>
      </left>
      <right style="thin">
        <color auto="1"/>
      </right>
      <top/>
      <bottom style="thin">
        <color auto="1"/>
      </bottom>
      <diagonal/>
    </border>
  </borders>
  <cellStyleXfs count="7">
    <xf numFmtId="0" fontId="0" fillId="0" borderId="0"/>
    <xf numFmtId="44" fontId="1" fillId="0" borderId="0" applyFont="0" applyFill="0" applyBorder="0" applyAlignment="0" applyProtection="0"/>
    <xf numFmtId="5" fontId="2" fillId="0" borderId="0"/>
    <xf numFmtId="5" fontId="2" fillId="0" borderId="0"/>
    <xf numFmtId="0" fontId="3" fillId="0" borderId="0"/>
    <xf numFmtId="43"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5" fontId="5" fillId="3" borderId="0" xfId="2" applyFont="1" applyFill="1"/>
    <xf numFmtId="0" fontId="6" fillId="3" borderId="0" xfId="2" applyNumberFormat="1" applyFont="1" applyFill="1"/>
    <xf numFmtId="0" fontId="6" fillId="3" borderId="0" xfId="2" applyNumberFormat="1" applyFont="1" applyFill="1" applyAlignment="1">
      <alignment horizontal="center"/>
    </xf>
    <xf numFmtId="5" fontId="6" fillId="3" borderId="0" xfId="2" applyFont="1" applyFill="1" applyAlignment="1">
      <alignment horizontal="center"/>
    </xf>
    <xf numFmtId="5" fontId="6" fillId="3" borderId="0" xfId="2" applyFont="1" applyFill="1"/>
    <xf numFmtId="44" fontId="6" fillId="3" borderId="0" xfId="1" applyFont="1" applyFill="1"/>
    <xf numFmtId="5" fontId="6" fillId="0" borderId="1" xfId="2" applyFont="1" applyBorder="1"/>
    <xf numFmtId="0" fontId="6" fillId="0" borderId="1" xfId="2" applyNumberFormat="1" applyFont="1" applyBorder="1"/>
    <xf numFmtId="0" fontId="6" fillId="2" borderId="1" xfId="2" applyNumberFormat="1" applyFont="1" applyFill="1" applyBorder="1" applyAlignment="1">
      <alignment horizontal="center"/>
    </xf>
    <xf numFmtId="5" fontId="6" fillId="0" borderId="1" xfId="2" applyFont="1" applyBorder="1" applyAlignment="1">
      <alignment horizontal="center"/>
    </xf>
    <xf numFmtId="44" fontId="6" fillId="0" borderId="1" xfId="1" applyFont="1" applyFill="1" applyBorder="1"/>
    <xf numFmtId="44" fontId="6" fillId="0" borderId="1" xfId="1" applyFont="1" applyBorder="1"/>
    <xf numFmtId="44" fontId="6" fillId="2" borderId="1" xfId="1" applyFont="1" applyFill="1" applyBorder="1"/>
    <xf numFmtId="0" fontId="6" fillId="0" borderId="1" xfId="2" applyNumberFormat="1" applyFont="1" applyBorder="1" applyAlignment="1">
      <alignment horizontal="center"/>
    </xf>
    <xf numFmtId="5" fontId="6" fillId="0" borderId="0" xfId="2" applyFont="1"/>
    <xf numFmtId="44" fontId="6" fillId="0" borderId="0" xfId="1" applyFont="1"/>
    <xf numFmtId="5" fontId="6" fillId="0" borderId="1" xfId="2" applyFont="1" applyFill="1" applyBorder="1"/>
    <xf numFmtId="0" fontId="6" fillId="0" borderId="1" xfId="2" applyNumberFormat="1" applyFont="1" applyFill="1" applyBorder="1"/>
    <xf numFmtId="5" fontId="6" fillId="2" borderId="1" xfId="2" applyFont="1" applyFill="1" applyBorder="1"/>
    <xf numFmtId="0" fontId="6" fillId="2" borderId="1" xfId="2" applyNumberFormat="1" applyFont="1" applyFill="1" applyBorder="1" applyAlignment="1">
      <alignment horizontal="left"/>
    </xf>
    <xf numFmtId="5" fontId="5" fillId="3" borderId="0" xfId="3" applyFont="1" applyFill="1"/>
    <xf numFmtId="5" fontId="6" fillId="0" borderId="1" xfId="3" applyFont="1" applyBorder="1"/>
    <xf numFmtId="0" fontId="6" fillId="0" borderId="1" xfId="3" applyNumberFormat="1" applyFont="1" applyBorder="1"/>
    <xf numFmtId="0" fontId="6" fillId="0" borderId="1" xfId="3" applyNumberFormat="1" applyFont="1" applyBorder="1" applyAlignment="1">
      <alignment horizontal="center"/>
    </xf>
    <xf numFmtId="5" fontId="6" fillId="0" borderId="1" xfId="3" applyFont="1" applyBorder="1" applyAlignment="1">
      <alignment horizontal="center"/>
    </xf>
    <xf numFmtId="0" fontId="6" fillId="2" borderId="1" xfId="3" applyNumberFormat="1" applyFont="1" applyFill="1" applyBorder="1" applyAlignment="1">
      <alignment horizontal="center"/>
    </xf>
    <xf numFmtId="5" fontId="6" fillId="2" borderId="1" xfId="3" applyFont="1" applyFill="1" applyBorder="1"/>
    <xf numFmtId="1" fontId="6" fillId="2" borderId="1" xfId="3" applyNumberFormat="1" applyFont="1" applyFill="1" applyBorder="1" applyAlignment="1">
      <alignment horizontal="center"/>
    </xf>
    <xf numFmtId="5" fontId="5" fillId="0" borderId="3" xfId="3" applyFont="1" applyBorder="1"/>
    <xf numFmtId="5" fontId="6" fillId="0" borderId="0" xfId="3" applyFont="1"/>
    <xf numFmtId="5" fontId="5" fillId="0" borderId="2" xfId="3" applyFont="1" applyBorder="1"/>
    <xf numFmtId="0" fontId="7" fillId="0" borderId="0" xfId="0" applyFont="1"/>
    <xf numFmtId="0" fontId="7" fillId="0" borderId="0" xfId="0" applyFont="1" applyAlignment="1">
      <alignment horizontal="center" vertical="center"/>
    </xf>
    <xf numFmtId="44" fontId="7" fillId="0" borderId="0" xfId="1" applyFont="1"/>
    <xf numFmtId="5" fontId="4" fillId="0" borderId="0" xfId="2" applyFont="1" applyAlignment="1">
      <alignment horizontal="center" vertical="center"/>
    </xf>
    <xf numFmtId="0" fontId="4" fillId="0" borderId="0" xfId="2" applyNumberFormat="1" applyFont="1" applyAlignment="1">
      <alignment horizontal="center" vertical="center"/>
    </xf>
    <xf numFmtId="166" fontId="6" fillId="3" borderId="0" xfId="1" applyNumberFormat="1" applyFont="1" applyFill="1"/>
    <xf numFmtId="166" fontId="5" fillId="0" borderId="0" xfId="1" applyNumberFormat="1" applyFont="1"/>
    <xf numFmtId="0" fontId="7" fillId="0" borderId="1" xfId="0" applyFont="1" applyBorder="1" applyAlignment="1">
      <alignment horizontal="center" vertical="center"/>
    </xf>
    <xf numFmtId="166" fontId="7" fillId="0" borderId="1" xfId="1" applyNumberFormat="1" applyFont="1" applyBorder="1"/>
    <xf numFmtId="166" fontId="6" fillId="0" borderId="1" xfId="1" applyNumberFormat="1" applyFont="1" applyBorder="1"/>
    <xf numFmtId="166" fontId="6" fillId="3" borderId="0" xfId="2" applyNumberFormat="1" applyFont="1" applyFill="1" applyAlignment="1">
      <alignment horizontal="center"/>
    </xf>
    <xf numFmtId="166" fontId="7" fillId="0" borderId="0" xfId="0" applyNumberFormat="1" applyFont="1"/>
    <xf numFmtId="166" fontId="5" fillId="0" borderId="3" xfId="1" applyNumberFormat="1" applyFont="1" applyBorder="1"/>
    <xf numFmtId="166" fontId="6" fillId="0" borderId="0" xfId="1" applyNumberFormat="1" applyFont="1" applyBorder="1"/>
    <xf numFmtId="166" fontId="5" fillId="0" borderId="2" xfId="1" applyNumberFormat="1" applyFont="1" applyBorder="1"/>
    <xf numFmtId="0" fontId="6" fillId="0" borderId="0" xfId="0" applyFont="1"/>
    <xf numFmtId="0" fontId="7" fillId="0" borderId="0" xfId="0" applyFont="1" applyAlignment="1">
      <alignment horizontal="right"/>
    </xf>
    <xf numFmtId="166" fontId="5" fillId="4" borderId="2" xfId="1" applyNumberFormat="1" applyFont="1" applyFill="1" applyBorder="1"/>
    <xf numFmtId="0" fontId="7" fillId="5" borderId="1" xfId="0" applyFont="1" applyFill="1" applyBorder="1" applyAlignment="1">
      <alignment horizontal="center" vertical="center"/>
    </xf>
    <xf numFmtId="166" fontId="7" fillId="5" borderId="1" xfId="1" applyNumberFormat="1" applyFont="1" applyFill="1" applyBorder="1"/>
    <xf numFmtId="0" fontId="6" fillId="6" borderId="1" xfId="2" applyNumberFormat="1" applyFont="1" applyFill="1" applyBorder="1" applyAlignment="1">
      <alignment horizontal="center"/>
    </xf>
    <xf numFmtId="0" fontId="9" fillId="0" borderId="0" xfId="0" applyFont="1"/>
    <xf numFmtId="0" fontId="11" fillId="0" borderId="0" xfId="0" applyFont="1"/>
    <xf numFmtId="6" fontId="7" fillId="0" borderId="0" xfId="0" applyNumberFormat="1" applyFont="1"/>
    <xf numFmtId="6" fontId="7" fillId="0" borderId="5" xfId="0" applyNumberFormat="1" applyFont="1" applyBorder="1"/>
    <xf numFmtId="168" fontId="9" fillId="0" borderId="0" xfId="0" applyNumberFormat="1" applyFont="1"/>
    <xf numFmtId="168" fontId="9" fillId="0" borderId="0" xfId="0" applyNumberFormat="1" applyFont="1" applyAlignment="1">
      <alignment horizontal="center"/>
    </xf>
    <xf numFmtId="0" fontId="7" fillId="0" borderId="1" xfId="0" applyFont="1" applyBorder="1"/>
    <xf numFmtId="0" fontId="9" fillId="0" borderId="1" xfId="0" applyFont="1" applyBorder="1"/>
    <xf numFmtId="168" fontId="9" fillId="0" borderId="1" xfId="0" applyNumberFormat="1" applyFont="1" applyBorder="1" applyAlignment="1">
      <alignment horizontal="center"/>
    </xf>
    <xf numFmtId="168" fontId="9" fillId="4" borderId="1" xfId="0" applyNumberFormat="1" applyFont="1" applyFill="1" applyBorder="1" applyAlignment="1">
      <alignment horizontal="center"/>
    </xf>
    <xf numFmtId="0" fontId="9" fillId="0" borderId="0" xfId="0" applyFont="1" applyAlignment="1">
      <alignment horizontal="center"/>
    </xf>
    <xf numFmtId="0" fontId="12" fillId="4" borderId="0" xfId="0" applyFont="1" applyFill="1" applyAlignment="1">
      <alignment horizontal="center"/>
    </xf>
    <xf numFmtId="164" fontId="7" fillId="0" borderId="0" xfId="0" applyNumberFormat="1" applyFont="1" applyAlignment="1">
      <alignment horizontal="center"/>
    </xf>
    <xf numFmtId="6" fontId="7" fillId="0" borderId="0" xfId="0" applyNumberFormat="1" applyFont="1" applyAlignment="1">
      <alignment horizontal="center"/>
    </xf>
    <xf numFmtId="168" fontId="7" fillId="0" borderId="0" xfId="0" applyNumberFormat="1" applyFont="1" applyAlignment="1">
      <alignment horizontal="center"/>
    </xf>
    <xf numFmtId="169" fontId="7" fillId="0" borderId="0" xfId="0" applyNumberFormat="1" applyFont="1"/>
    <xf numFmtId="170" fontId="7" fillId="7" borderId="0" xfId="6" applyNumberFormat="1" applyFont="1" applyFill="1" applyAlignment="1">
      <alignment horizontal="center"/>
    </xf>
    <xf numFmtId="170" fontId="6" fillId="7" borderId="0" xfId="6" applyNumberFormat="1" applyFont="1" applyFill="1" applyAlignment="1">
      <alignment horizontal="center"/>
    </xf>
    <xf numFmtId="0" fontId="10" fillId="7" borderId="0" xfId="0" applyFont="1" applyFill="1" applyAlignment="1">
      <alignment horizontal="center"/>
    </xf>
    <xf numFmtId="171" fontId="9" fillId="0" borderId="0" xfId="0" applyNumberFormat="1" applyFont="1" applyAlignment="1">
      <alignment horizontal="center"/>
    </xf>
    <xf numFmtId="0" fontId="13" fillId="4" borderId="0" xfId="0" applyFont="1" applyFill="1"/>
    <xf numFmtId="3" fontId="9" fillId="0" borderId="0" xfId="0" applyNumberFormat="1" applyFont="1" applyAlignment="1">
      <alignment horizontal="center"/>
    </xf>
    <xf numFmtId="164" fontId="7" fillId="10" borderId="0" xfId="0" applyNumberFormat="1" applyFont="1" applyFill="1" applyAlignment="1">
      <alignment horizontal="center"/>
    </xf>
    <xf numFmtId="0" fontId="9" fillId="10" borderId="0" xfId="0" applyFont="1" applyFill="1"/>
    <xf numFmtId="0" fontId="12" fillId="0" borderId="1" xfId="0" applyFont="1" applyBorder="1" applyAlignment="1">
      <alignment horizontal="center"/>
    </xf>
    <xf numFmtId="0" fontId="12" fillId="0" borderId="0" xfId="0" applyFont="1"/>
    <xf numFmtId="0" fontId="10" fillId="11" borderId="1" xfId="0" applyFont="1" applyFill="1" applyBorder="1"/>
    <xf numFmtId="168" fontId="12" fillId="11" borderId="1" xfId="0" applyNumberFormat="1" applyFont="1" applyFill="1" applyBorder="1" applyAlignment="1">
      <alignment horizontal="center"/>
    </xf>
    <xf numFmtId="0" fontId="10" fillId="11" borderId="6" xfId="0" applyFont="1" applyFill="1" applyBorder="1"/>
    <xf numFmtId="168" fontId="12" fillId="11" borderId="6" xfId="0" applyNumberFormat="1" applyFont="1" applyFill="1" applyBorder="1" applyAlignment="1">
      <alignment horizontal="center"/>
    </xf>
    <xf numFmtId="0" fontId="12" fillId="9" borderId="0" xfId="0" applyFont="1" applyFill="1" applyAlignment="1">
      <alignment horizontal="center"/>
    </xf>
    <xf numFmtId="0" fontId="12" fillId="8" borderId="0" xfId="0" applyFont="1" applyFill="1" applyAlignment="1">
      <alignment horizontal="center"/>
    </xf>
    <xf numFmtId="0" fontId="12" fillId="8" borderId="1" xfId="0" applyFont="1" applyFill="1" applyBorder="1" applyAlignment="1">
      <alignment horizontal="center"/>
    </xf>
    <xf numFmtId="168" fontId="7" fillId="0" borderId="0" xfId="1" applyNumberFormat="1" applyFont="1"/>
    <xf numFmtId="0" fontId="10" fillId="4" borderId="5" xfId="0" applyFont="1" applyFill="1" applyBorder="1" applyAlignment="1">
      <alignment horizontal="center" vertical="center"/>
    </xf>
    <xf numFmtId="0" fontId="5" fillId="13" borderId="0" xfId="0" applyFont="1" applyFill="1"/>
    <xf numFmtId="6" fontId="5" fillId="13" borderId="0" xfId="0" applyNumberFormat="1" applyFont="1" applyFill="1"/>
    <xf numFmtId="0" fontId="7" fillId="13" borderId="0" xfId="0" applyFont="1" applyFill="1"/>
    <xf numFmtId="168" fontId="10" fillId="13" borderId="4" xfId="1" applyNumberFormat="1" applyFont="1" applyFill="1" applyBorder="1"/>
    <xf numFmtId="6" fontId="9" fillId="0" borderId="0" xfId="0" applyNumberFormat="1" applyFont="1" applyAlignment="1">
      <alignment horizontal="center"/>
    </xf>
    <xf numFmtId="6" fontId="10" fillId="13" borderId="0" xfId="0" applyNumberFormat="1" applyFont="1" applyFill="1" applyAlignment="1">
      <alignment horizontal="center"/>
    </xf>
    <xf numFmtId="168" fontId="10" fillId="13" borderId="0" xfId="0" applyNumberFormat="1" applyFont="1" applyFill="1" applyAlignment="1">
      <alignment horizontal="center"/>
    </xf>
    <xf numFmtId="10" fontId="9" fillId="0" borderId="0" xfId="6" applyNumberFormat="1" applyFont="1" applyAlignment="1">
      <alignment horizontal="center"/>
    </xf>
    <xf numFmtId="10" fontId="9" fillId="0" borderId="0" xfId="0" applyNumberFormat="1" applyFont="1" applyAlignment="1">
      <alignment horizontal="center"/>
    </xf>
    <xf numFmtId="165" fontId="9" fillId="14" borderId="0" xfId="0" applyNumberFormat="1" applyFont="1" applyFill="1" applyAlignment="1">
      <alignment horizontal="center"/>
    </xf>
    <xf numFmtId="3" fontId="10" fillId="13" borderId="0" xfId="0" applyNumberFormat="1" applyFont="1" applyFill="1" applyAlignment="1">
      <alignment horizontal="center"/>
    </xf>
    <xf numFmtId="4" fontId="9" fillId="0" borderId="0" xfId="0" applyNumberFormat="1" applyFont="1" applyAlignment="1">
      <alignment horizontal="center"/>
    </xf>
    <xf numFmtId="171" fontId="10" fillId="13" borderId="0" xfId="0" applyNumberFormat="1" applyFont="1" applyFill="1" applyAlignment="1">
      <alignment horizontal="center"/>
    </xf>
    <xf numFmtId="165" fontId="9" fillId="10" borderId="0" xfId="0" applyNumberFormat="1" applyFont="1" applyFill="1" applyAlignment="1">
      <alignment horizontal="center"/>
    </xf>
    <xf numFmtId="170" fontId="12" fillId="12" borderId="0" xfId="6" applyNumberFormat="1" applyFont="1" applyFill="1" applyAlignment="1">
      <alignment horizontal="center"/>
    </xf>
    <xf numFmtId="9" fontId="12" fillId="12" borderId="0" xfId="6" applyNumberFormat="1" applyFont="1" applyFill="1" applyAlignment="1">
      <alignment horizontal="center"/>
    </xf>
    <xf numFmtId="9" fontId="12" fillId="10" borderId="0" xfId="6" applyNumberFormat="1" applyFont="1" applyFill="1" applyAlignment="1">
      <alignment horizontal="center"/>
    </xf>
    <xf numFmtId="9" fontId="12" fillId="12" borderId="0" xfId="0" applyNumberFormat="1" applyFont="1" applyFill="1" applyAlignment="1">
      <alignment horizontal="center"/>
    </xf>
    <xf numFmtId="168" fontId="12" fillId="12" borderId="0" xfId="0" applyNumberFormat="1" applyFont="1" applyFill="1" applyAlignment="1">
      <alignment horizontal="center"/>
    </xf>
    <xf numFmtId="3" fontId="12" fillId="13" borderId="0" xfId="0" applyNumberFormat="1" applyFont="1" applyFill="1" applyAlignment="1">
      <alignment horizontal="center"/>
    </xf>
    <xf numFmtId="1" fontId="9" fillId="0" borderId="0" xfId="0" applyNumberFormat="1" applyFont="1" applyAlignment="1">
      <alignment horizontal="center"/>
    </xf>
    <xf numFmtId="3" fontId="13" fillId="4" borderId="0" xfId="0" applyNumberFormat="1" applyFont="1" applyFill="1" applyAlignment="1">
      <alignment horizontal="center"/>
    </xf>
    <xf numFmtId="0" fontId="14" fillId="4" borderId="0" xfId="0" applyFont="1" applyFill="1"/>
    <xf numFmtId="0" fontId="10" fillId="4" borderId="0" xfId="0" applyFont="1" applyFill="1" applyAlignment="1">
      <alignment horizontal="center"/>
    </xf>
    <xf numFmtId="0" fontId="7" fillId="15" borderId="0" xfId="0" applyFont="1" applyFill="1"/>
    <xf numFmtId="167" fontId="7" fillId="15" borderId="0" xfId="5" applyNumberFormat="1" applyFont="1" applyFill="1" applyAlignment="1">
      <alignment horizontal="left" vertical="center"/>
    </xf>
    <xf numFmtId="167" fontId="7" fillId="15" borderId="0" xfId="5" applyNumberFormat="1" applyFont="1" applyFill="1" applyAlignment="1">
      <alignment horizontal="center" vertical="center"/>
    </xf>
    <xf numFmtId="9" fontId="9" fillId="0" borderId="0" xfId="6" applyNumberFormat="1" applyFont="1" applyAlignment="1">
      <alignment horizontal="center"/>
    </xf>
    <xf numFmtId="168" fontId="12" fillId="13" borderId="0" xfId="0" applyNumberFormat="1" applyFont="1" applyFill="1" applyAlignment="1">
      <alignment horizontal="center"/>
    </xf>
    <xf numFmtId="165" fontId="12" fillId="12" borderId="0" xfId="0" applyNumberFormat="1" applyFont="1" applyFill="1" applyAlignment="1">
      <alignment horizontal="center"/>
    </xf>
    <xf numFmtId="172" fontId="9" fillId="0" borderId="0" xfId="0" applyNumberFormat="1" applyFont="1" applyAlignment="1">
      <alignment horizontal="center"/>
    </xf>
    <xf numFmtId="172" fontId="12" fillId="13" borderId="0" xfId="0" applyNumberFormat="1" applyFont="1" applyFill="1" applyAlignment="1">
      <alignment horizontal="center"/>
    </xf>
    <xf numFmtId="0" fontId="17" fillId="0" borderId="0" xfId="0" applyFont="1"/>
  </cellXfs>
  <cellStyles count="7">
    <cellStyle name="Comma" xfId="5" builtinId="3"/>
    <cellStyle name="Currency" xfId="1" builtinId="4"/>
    <cellStyle name="Normal" xfId="0" builtinId="0"/>
    <cellStyle name="Normal 2" xfId="3"/>
    <cellStyle name="Normal 3" xfId="4"/>
    <cellStyle name="Normal 4" xfId="2"/>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J137"/>
  <sheetViews>
    <sheetView zoomScale="71" zoomScaleNormal="71" zoomScalePageLayoutView="71" workbookViewId="0">
      <pane xSplit="1" ySplit="1" topLeftCell="C85" activePane="bottomRight" state="frozen"/>
      <selection pane="topRight" activeCell="B1" sqref="B1"/>
      <selection pane="bottomLeft" activeCell="A2" sqref="A2"/>
      <selection pane="bottomRight" activeCell="J127" sqref="J127"/>
    </sheetView>
  </sheetViews>
  <sheetFormatPr baseColWidth="10" defaultColWidth="9.1640625" defaultRowHeight="16" outlineLevelRow="1" x14ac:dyDescent="0.2"/>
  <cols>
    <col min="1" max="1" width="66.33203125" style="32" bestFit="1" customWidth="1"/>
    <col min="2" max="2" width="4" style="32" bestFit="1" customWidth="1"/>
    <col min="3" max="3" width="15.5" style="32" bestFit="1" customWidth="1"/>
    <col min="4" max="4" width="13.5" style="32" bestFit="1" customWidth="1"/>
    <col min="5" max="5" width="17.6640625" style="32" bestFit="1" customWidth="1"/>
    <col min="6" max="6" width="46" style="32" bestFit="1" customWidth="1"/>
    <col min="7" max="7" width="20.83203125" style="32" bestFit="1" customWidth="1"/>
    <col min="8" max="8" width="15.1640625" style="32" bestFit="1" customWidth="1"/>
    <col min="9" max="9" width="18.83203125" style="32" bestFit="1" customWidth="1"/>
    <col min="10" max="10" width="49.33203125" style="32" customWidth="1"/>
    <col min="11" max="16384" width="9.1640625" style="32"/>
  </cols>
  <sheetData>
    <row r="1" spans="1:10" s="33" customFormat="1" x14ac:dyDescent="0.2">
      <c r="A1" s="35" t="s">
        <v>0</v>
      </c>
      <c r="B1" s="36" t="s">
        <v>1</v>
      </c>
      <c r="C1" s="36" t="s">
        <v>2</v>
      </c>
      <c r="D1" s="35" t="s">
        <v>3</v>
      </c>
      <c r="E1" s="35" t="s">
        <v>4</v>
      </c>
      <c r="F1" s="35" t="s">
        <v>5</v>
      </c>
      <c r="G1" s="35" t="s">
        <v>6</v>
      </c>
      <c r="H1" s="35" t="s">
        <v>210</v>
      </c>
      <c r="I1" s="35" t="s">
        <v>212</v>
      </c>
      <c r="J1" s="71" t="s">
        <v>308</v>
      </c>
    </row>
    <row r="2" spans="1:10" x14ac:dyDescent="0.2">
      <c r="A2" s="1" t="s">
        <v>7</v>
      </c>
      <c r="B2" s="2"/>
      <c r="C2" s="3"/>
      <c r="D2" s="4"/>
      <c r="E2" s="5"/>
      <c r="F2" s="5"/>
      <c r="G2" s="6"/>
      <c r="H2" s="6"/>
      <c r="I2" s="37"/>
    </row>
    <row r="3" spans="1:10" outlineLevel="1" x14ac:dyDescent="0.2">
      <c r="A3" s="7" t="s">
        <v>8</v>
      </c>
      <c r="B3" s="8"/>
      <c r="C3" s="9">
        <v>1.4</v>
      </c>
      <c r="D3" s="10" t="s">
        <v>9</v>
      </c>
      <c r="E3" s="11">
        <v>15000</v>
      </c>
      <c r="F3" s="7" t="s">
        <v>10</v>
      </c>
      <c r="G3" s="41">
        <f>E3</f>
        <v>15000</v>
      </c>
      <c r="H3" s="50" t="s">
        <v>211</v>
      </c>
      <c r="I3" s="51">
        <f>IF(H3="Y",G3*12,G3)</f>
        <v>15000</v>
      </c>
    </row>
    <row r="4" spans="1:10" outlineLevel="1" x14ac:dyDescent="0.2">
      <c r="A4" s="7" t="s">
        <v>11</v>
      </c>
      <c r="B4" s="8"/>
      <c r="C4" s="9">
        <v>1</v>
      </c>
      <c r="D4" s="10" t="s">
        <v>12</v>
      </c>
      <c r="E4" s="12">
        <v>500</v>
      </c>
      <c r="F4" s="7" t="s">
        <v>13</v>
      </c>
      <c r="G4" s="41">
        <f t="shared" ref="G4:G6" si="0">C4*E4</f>
        <v>500</v>
      </c>
      <c r="H4" s="39" t="s">
        <v>156</v>
      </c>
      <c r="I4" s="40">
        <f t="shared" ref="I4:I66" si="1">IF(H4="Y",G4*12,G4)</f>
        <v>6000</v>
      </c>
    </row>
    <row r="5" spans="1:10" outlineLevel="1" x14ac:dyDescent="0.2">
      <c r="A5" s="7" t="s">
        <v>14</v>
      </c>
      <c r="B5" s="8"/>
      <c r="C5" s="9">
        <v>2</v>
      </c>
      <c r="D5" s="10" t="s">
        <v>15</v>
      </c>
      <c r="E5" s="13">
        <v>4000</v>
      </c>
      <c r="F5" s="7" t="s">
        <v>16</v>
      </c>
      <c r="G5" s="41">
        <f t="shared" si="0"/>
        <v>8000</v>
      </c>
      <c r="H5" s="50" t="s">
        <v>211</v>
      </c>
      <c r="I5" s="51">
        <f t="shared" si="1"/>
        <v>8000</v>
      </c>
    </row>
    <row r="6" spans="1:10" outlineLevel="1" x14ac:dyDescent="0.2">
      <c r="A6" s="7" t="s">
        <v>17</v>
      </c>
      <c r="B6" s="8"/>
      <c r="C6" s="14">
        <v>100</v>
      </c>
      <c r="D6" s="10" t="s">
        <v>18</v>
      </c>
      <c r="E6" s="12">
        <v>180</v>
      </c>
      <c r="F6" s="7" t="s">
        <v>19</v>
      </c>
      <c r="G6" s="41">
        <f t="shared" si="0"/>
        <v>18000</v>
      </c>
      <c r="H6" s="50" t="s">
        <v>211</v>
      </c>
      <c r="I6" s="51">
        <f t="shared" si="1"/>
        <v>18000</v>
      </c>
    </row>
    <row r="7" spans="1:10" x14ac:dyDescent="0.2">
      <c r="A7" s="15"/>
      <c r="B7" s="15"/>
      <c r="C7" s="15"/>
      <c r="D7" s="15"/>
      <c r="E7" s="16"/>
      <c r="F7" s="15"/>
      <c r="G7" s="38">
        <f>SUM(G3:G6)</f>
        <v>41500</v>
      </c>
      <c r="H7" s="33"/>
      <c r="I7" s="38">
        <f>SUM(I3:I6)</f>
        <v>47000</v>
      </c>
      <c r="J7" s="70">
        <f>+(I5+I6)/I7</f>
        <v>0.55319148936170215</v>
      </c>
    </row>
    <row r="8" spans="1:10" x14ac:dyDescent="0.2">
      <c r="A8" s="1" t="s">
        <v>20</v>
      </c>
      <c r="B8" s="2"/>
      <c r="C8" s="3"/>
      <c r="D8" s="4"/>
      <c r="E8" s="6"/>
      <c r="F8" s="5"/>
      <c r="G8" s="37"/>
      <c r="H8" s="6"/>
      <c r="I8" s="37"/>
    </row>
    <row r="9" spans="1:10" outlineLevel="1" x14ac:dyDescent="0.2">
      <c r="A9" s="7" t="s">
        <v>21</v>
      </c>
      <c r="B9" s="8"/>
      <c r="C9" s="9">
        <v>2</v>
      </c>
      <c r="D9" s="10" t="s">
        <v>22</v>
      </c>
      <c r="E9" s="13">
        <v>5000</v>
      </c>
      <c r="F9" s="7" t="s">
        <v>23</v>
      </c>
      <c r="G9" s="41">
        <f t="shared" ref="G9:G17" si="2">C9*E9</f>
        <v>10000</v>
      </c>
      <c r="H9" s="50" t="s">
        <v>211</v>
      </c>
      <c r="I9" s="51">
        <f t="shared" si="1"/>
        <v>10000</v>
      </c>
      <c r="J9" s="68">
        <f>0.5*I9</f>
        <v>5000</v>
      </c>
    </row>
    <row r="10" spans="1:10" outlineLevel="1" x14ac:dyDescent="0.2">
      <c r="A10" s="7" t="s">
        <v>24</v>
      </c>
      <c r="B10" s="8"/>
      <c r="C10" s="9">
        <v>5</v>
      </c>
      <c r="D10" s="10" t="s">
        <v>15</v>
      </c>
      <c r="E10" s="13">
        <v>10000</v>
      </c>
      <c r="F10" s="7" t="s">
        <v>23</v>
      </c>
      <c r="G10" s="41">
        <f t="shared" si="2"/>
        <v>50000</v>
      </c>
      <c r="H10" s="50" t="s">
        <v>211</v>
      </c>
      <c r="I10" s="51">
        <f t="shared" si="1"/>
        <v>50000</v>
      </c>
      <c r="J10" s="68">
        <f>0.5*I10</f>
        <v>25000</v>
      </c>
    </row>
    <row r="11" spans="1:10" outlineLevel="1" x14ac:dyDescent="0.2">
      <c r="A11" s="7" t="s">
        <v>25</v>
      </c>
      <c r="B11" s="8"/>
      <c r="C11" s="9">
        <v>41</v>
      </c>
      <c r="D11" s="10" t="s">
        <v>15</v>
      </c>
      <c r="E11" s="12">
        <v>0</v>
      </c>
      <c r="F11" s="7" t="s">
        <v>26</v>
      </c>
      <c r="G11" s="41">
        <f t="shared" si="2"/>
        <v>0</v>
      </c>
      <c r="H11" s="50" t="s">
        <v>211</v>
      </c>
      <c r="I11" s="51">
        <f t="shared" si="1"/>
        <v>0</v>
      </c>
    </row>
    <row r="12" spans="1:10" outlineLevel="1" x14ac:dyDescent="0.2">
      <c r="A12" s="7" t="s">
        <v>27</v>
      </c>
      <c r="B12" s="8"/>
      <c r="C12" s="14">
        <v>0</v>
      </c>
      <c r="D12" s="10" t="s">
        <v>15</v>
      </c>
      <c r="E12" s="13">
        <v>10000</v>
      </c>
      <c r="F12" s="7" t="s">
        <v>28</v>
      </c>
      <c r="G12" s="41">
        <f t="shared" si="2"/>
        <v>0</v>
      </c>
      <c r="H12" s="50" t="s">
        <v>211</v>
      </c>
      <c r="I12" s="51">
        <f t="shared" si="1"/>
        <v>0</v>
      </c>
    </row>
    <row r="13" spans="1:10" outlineLevel="1" x14ac:dyDescent="0.2">
      <c r="A13" s="7" t="s">
        <v>29</v>
      </c>
      <c r="B13" s="8"/>
      <c r="C13" s="14">
        <v>1</v>
      </c>
      <c r="D13" s="10" t="s">
        <v>12</v>
      </c>
      <c r="E13" s="12">
        <v>3000</v>
      </c>
      <c r="F13" s="7" t="s">
        <v>26</v>
      </c>
      <c r="G13" s="41">
        <f t="shared" si="2"/>
        <v>3000</v>
      </c>
      <c r="H13" s="50" t="s">
        <v>211</v>
      </c>
      <c r="I13" s="51">
        <f t="shared" si="1"/>
        <v>3000</v>
      </c>
      <c r="J13" s="68">
        <f>0.3*I13</f>
        <v>900</v>
      </c>
    </row>
    <row r="14" spans="1:10" outlineLevel="1" x14ac:dyDescent="0.2">
      <c r="A14" s="7" t="s">
        <v>30</v>
      </c>
      <c r="B14" s="8"/>
      <c r="C14" s="14">
        <v>0</v>
      </c>
      <c r="D14" s="10" t="s">
        <v>15</v>
      </c>
      <c r="E14" s="12">
        <v>550</v>
      </c>
      <c r="F14" s="7" t="s">
        <v>31</v>
      </c>
      <c r="G14" s="41">
        <f t="shared" si="2"/>
        <v>0</v>
      </c>
      <c r="H14" s="50" t="s">
        <v>211</v>
      </c>
      <c r="I14" s="51">
        <f t="shared" si="1"/>
        <v>0</v>
      </c>
    </row>
    <row r="15" spans="1:10" outlineLevel="1" x14ac:dyDescent="0.2">
      <c r="A15" s="7" t="s">
        <v>32</v>
      </c>
      <c r="B15" s="8"/>
      <c r="C15" s="9">
        <v>5</v>
      </c>
      <c r="D15" s="10" t="s">
        <v>15</v>
      </c>
      <c r="E15" s="12">
        <v>1000</v>
      </c>
      <c r="F15" s="7" t="s">
        <v>33</v>
      </c>
      <c r="G15" s="41">
        <f t="shared" si="2"/>
        <v>5000</v>
      </c>
      <c r="H15" s="50" t="s">
        <v>211</v>
      </c>
      <c r="I15" s="51">
        <f t="shared" si="1"/>
        <v>5000</v>
      </c>
      <c r="J15" s="43">
        <f>+I15</f>
        <v>5000</v>
      </c>
    </row>
    <row r="16" spans="1:10" outlineLevel="1" x14ac:dyDescent="0.2">
      <c r="A16" s="7" t="s">
        <v>34</v>
      </c>
      <c r="B16" s="8"/>
      <c r="C16" s="9">
        <v>5</v>
      </c>
      <c r="D16" s="10" t="s">
        <v>15</v>
      </c>
      <c r="E16" s="13">
        <v>8000</v>
      </c>
      <c r="F16" s="7" t="s">
        <v>26</v>
      </c>
      <c r="G16" s="41">
        <f t="shared" si="2"/>
        <v>40000</v>
      </c>
      <c r="H16" s="50" t="s">
        <v>211</v>
      </c>
      <c r="I16" s="51">
        <f t="shared" si="1"/>
        <v>40000</v>
      </c>
      <c r="J16" s="68">
        <f>0.4*I16</f>
        <v>16000</v>
      </c>
    </row>
    <row r="17" spans="1:10" outlineLevel="1" x14ac:dyDescent="0.2">
      <c r="A17" s="7" t="s">
        <v>35</v>
      </c>
      <c r="B17" s="8"/>
      <c r="C17" s="9">
        <v>5</v>
      </c>
      <c r="D17" s="10" t="s">
        <v>15</v>
      </c>
      <c r="E17" s="12">
        <v>1000</v>
      </c>
      <c r="F17" s="7" t="s">
        <v>33</v>
      </c>
      <c r="G17" s="41">
        <f t="shared" si="2"/>
        <v>5000</v>
      </c>
      <c r="H17" s="50" t="s">
        <v>211</v>
      </c>
      <c r="I17" s="51">
        <f t="shared" si="1"/>
        <v>5000</v>
      </c>
      <c r="J17" s="43">
        <f>+I17</f>
        <v>5000</v>
      </c>
    </row>
    <row r="18" spans="1:10" x14ac:dyDescent="0.2">
      <c r="A18" s="15"/>
      <c r="B18" s="15"/>
      <c r="C18" s="15"/>
      <c r="D18" s="15"/>
      <c r="E18" s="16"/>
      <c r="F18" s="15"/>
      <c r="G18" s="38">
        <f>SUM(G9:G17)</f>
        <v>113000</v>
      </c>
      <c r="H18" s="33"/>
      <c r="I18" s="38">
        <f>SUM(I9:I17)</f>
        <v>113000</v>
      </c>
      <c r="J18" s="69">
        <f>+SUM(J9:J17)/$I$18</f>
        <v>0.50353982300884959</v>
      </c>
    </row>
    <row r="19" spans="1:10" x14ac:dyDescent="0.2">
      <c r="A19" s="1" t="s">
        <v>36</v>
      </c>
      <c r="B19" s="2"/>
      <c r="C19" s="3"/>
      <c r="D19" s="4"/>
      <c r="E19" s="6"/>
      <c r="F19" s="5"/>
      <c r="G19" s="37"/>
      <c r="H19" s="6"/>
      <c r="I19" s="37"/>
    </row>
    <row r="20" spans="1:10" outlineLevel="1" x14ac:dyDescent="0.2">
      <c r="A20" s="7" t="s">
        <v>37</v>
      </c>
      <c r="B20" s="8"/>
      <c r="C20" s="9">
        <v>16</v>
      </c>
      <c r="D20" s="10" t="s">
        <v>38</v>
      </c>
      <c r="E20" s="13">
        <v>2400</v>
      </c>
      <c r="F20" s="7" t="s">
        <v>39</v>
      </c>
      <c r="G20" s="41">
        <f t="shared" ref="G20:G34" si="3">C20*E20</f>
        <v>38400</v>
      </c>
      <c r="H20" s="50" t="s">
        <v>211</v>
      </c>
      <c r="I20" s="51">
        <f t="shared" si="1"/>
        <v>38400</v>
      </c>
      <c r="J20" s="68">
        <f>0.4*I20</f>
        <v>15360</v>
      </c>
    </row>
    <row r="21" spans="1:10" outlineLevel="1" x14ac:dyDescent="0.2">
      <c r="A21" s="7" t="s">
        <v>40</v>
      </c>
      <c r="B21" s="8"/>
      <c r="C21" s="9">
        <v>1</v>
      </c>
      <c r="D21" s="10" t="s">
        <v>15</v>
      </c>
      <c r="E21" s="12">
        <v>500</v>
      </c>
      <c r="F21" s="7" t="s">
        <v>41</v>
      </c>
      <c r="G21" s="41">
        <f t="shared" si="3"/>
        <v>500</v>
      </c>
      <c r="H21" s="50" t="s">
        <v>211</v>
      </c>
      <c r="I21" s="51">
        <f t="shared" si="1"/>
        <v>500</v>
      </c>
    </row>
    <row r="22" spans="1:10" outlineLevel="1" x14ac:dyDescent="0.2">
      <c r="A22" s="7" t="s">
        <v>42</v>
      </c>
      <c r="B22" s="8"/>
      <c r="C22" s="52">
        <v>12</v>
      </c>
      <c r="D22" s="10" t="s">
        <v>38</v>
      </c>
      <c r="E22" s="13">
        <v>2400</v>
      </c>
      <c r="F22" s="7" t="s">
        <v>39</v>
      </c>
      <c r="G22" s="41">
        <f t="shared" si="3"/>
        <v>28800</v>
      </c>
      <c r="H22" s="50" t="s">
        <v>211</v>
      </c>
      <c r="I22" s="51">
        <f t="shared" si="1"/>
        <v>28800</v>
      </c>
      <c r="J22" s="68">
        <f>0.4*I22</f>
        <v>11520</v>
      </c>
    </row>
    <row r="23" spans="1:10" outlineLevel="1" x14ac:dyDescent="0.2">
      <c r="A23" s="7" t="s">
        <v>43</v>
      </c>
      <c r="B23" s="8"/>
      <c r="C23" s="52">
        <v>7</v>
      </c>
      <c r="D23" s="10" t="s">
        <v>12</v>
      </c>
      <c r="E23" s="13">
        <v>11200</v>
      </c>
      <c r="F23" s="7" t="s">
        <v>44</v>
      </c>
      <c r="G23" s="41">
        <f t="shared" si="3"/>
        <v>78400</v>
      </c>
      <c r="H23" s="50" t="s">
        <v>211</v>
      </c>
      <c r="I23" s="51">
        <f t="shared" si="1"/>
        <v>78400</v>
      </c>
      <c r="J23" s="43">
        <f>+I23</f>
        <v>78400</v>
      </c>
    </row>
    <row r="24" spans="1:10" outlineLevel="1" x14ac:dyDescent="0.2">
      <c r="A24" s="7" t="s">
        <v>45</v>
      </c>
      <c r="B24" s="8"/>
      <c r="C24" s="9">
        <v>41</v>
      </c>
      <c r="D24" s="10" t="s">
        <v>15</v>
      </c>
      <c r="E24" s="13">
        <v>14000</v>
      </c>
      <c r="F24" s="7" t="s">
        <v>46</v>
      </c>
      <c r="G24" s="41">
        <f t="shared" si="3"/>
        <v>574000</v>
      </c>
      <c r="H24" s="39" t="s">
        <v>156</v>
      </c>
      <c r="I24" s="40">
        <f t="shared" si="1"/>
        <v>6888000</v>
      </c>
    </row>
    <row r="25" spans="1:10" outlineLevel="1" x14ac:dyDescent="0.2">
      <c r="A25" s="7" t="s">
        <v>47</v>
      </c>
      <c r="B25" s="8"/>
      <c r="C25" s="9">
        <v>41</v>
      </c>
      <c r="D25" s="10" t="s">
        <v>15</v>
      </c>
      <c r="E25" s="11">
        <v>500</v>
      </c>
      <c r="F25" s="7" t="s">
        <v>48</v>
      </c>
      <c r="G25" s="41">
        <f t="shared" si="3"/>
        <v>20500</v>
      </c>
      <c r="H25" s="39" t="s">
        <v>156</v>
      </c>
      <c r="I25" s="40">
        <f t="shared" si="1"/>
        <v>246000</v>
      </c>
    </row>
    <row r="26" spans="1:10" outlineLevel="1" x14ac:dyDescent="0.2">
      <c r="A26" s="7" t="s">
        <v>49</v>
      </c>
      <c r="B26" s="8"/>
      <c r="C26" s="9">
        <v>41</v>
      </c>
      <c r="D26" s="10" t="s">
        <v>15</v>
      </c>
      <c r="E26" s="12">
        <v>250</v>
      </c>
      <c r="F26" s="7" t="s">
        <v>50</v>
      </c>
      <c r="G26" s="41">
        <f t="shared" si="3"/>
        <v>10250</v>
      </c>
      <c r="H26" s="39" t="s">
        <v>156</v>
      </c>
      <c r="I26" s="40">
        <f t="shared" si="1"/>
        <v>123000</v>
      </c>
      <c r="J26" s="43">
        <f>+I26</f>
        <v>123000</v>
      </c>
    </row>
    <row r="27" spans="1:10" outlineLevel="1" x14ac:dyDescent="0.2">
      <c r="A27" s="7" t="s">
        <v>51</v>
      </c>
      <c r="B27" s="8"/>
      <c r="C27" s="9">
        <v>0</v>
      </c>
      <c r="D27" s="10" t="s">
        <v>52</v>
      </c>
      <c r="E27" s="13">
        <v>0</v>
      </c>
      <c r="F27" s="7" t="s">
        <v>53</v>
      </c>
      <c r="G27" s="41">
        <f t="shared" si="3"/>
        <v>0</v>
      </c>
      <c r="H27" s="39" t="s">
        <v>156</v>
      </c>
      <c r="I27" s="40">
        <f t="shared" si="1"/>
        <v>0</v>
      </c>
    </row>
    <row r="28" spans="1:10" outlineLevel="1" x14ac:dyDescent="0.2">
      <c r="A28" s="7" t="s">
        <v>54</v>
      </c>
      <c r="B28" s="8"/>
      <c r="C28" s="9">
        <v>42</v>
      </c>
      <c r="D28" s="10" t="s">
        <v>15</v>
      </c>
      <c r="E28" s="13">
        <v>1540</v>
      </c>
      <c r="F28" s="7" t="s">
        <v>55</v>
      </c>
      <c r="G28" s="41">
        <f t="shared" si="3"/>
        <v>64680</v>
      </c>
      <c r="H28" s="39" t="s">
        <v>156</v>
      </c>
      <c r="I28" s="40">
        <f t="shared" si="1"/>
        <v>776160</v>
      </c>
    </row>
    <row r="29" spans="1:10" outlineLevel="1" x14ac:dyDescent="0.2">
      <c r="A29" s="7" t="s">
        <v>56</v>
      </c>
      <c r="B29" s="8"/>
      <c r="C29" s="9">
        <v>42</v>
      </c>
      <c r="D29" s="10" t="s">
        <v>12</v>
      </c>
      <c r="E29" s="13">
        <v>150</v>
      </c>
      <c r="F29" s="7" t="s">
        <v>57</v>
      </c>
      <c r="G29" s="41">
        <f>C29*E29</f>
        <v>6300</v>
      </c>
      <c r="H29" s="39" t="s">
        <v>156</v>
      </c>
      <c r="I29" s="40">
        <f t="shared" si="1"/>
        <v>75600</v>
      </c>
    </row>
    <row r="30" spans="1:10" outlineLevel="1" x14ac:dyDescent="0.2">
      <c r="A30" s="7" t="s">
        <v>58</v>
      </c>
      <c r="B30" s="8"/>
      <c r="C30" s="9">
        <v>42</v>
      </c>
      <c r="D30" s="10" t="s">
        <v>15</v>
      </c>
      <c r="E30" s="13">
        <v>1920</v>
      </c>
      <c r="F30" s="7" t="s">
        <v>59</v>
      </c>
      <c r="G30" s="41">
        <f t="shared" si="3"/>
        <v>80640</v>
      </c>
      <c r="H30" s="39" t="s">
        <v>156</v>
      </c>
      <c r="I30" s="40">
        <f t="shared" si="1"/>
        <v>967680</v>
      </c>
    </row>
    <row r="31" spans="1:10" outlineLevel="1" x14ac:dyDescent="0.2">
      <c r="A31" s="7" t="s">
        <v>60</v>
      </c>
      <c r="B31" s="8"/>
      <c r="C31" s="9">
        <v>42</v>
      </c>
      <c r="D31" s="10" t="s">
        <v>15</v>
      </c>
      <c r="E31" s="13">
        <v>1500</v>
      </c>
      <c r="F31" s="7" t="s">
        <v>60</v>
      </c>
      <c r="G31" s="41">
        <f t="shared" si="3"/>
        <v>63000</v>
      </c>
      <c r="H31" s="39" t="s">
        <v>156</v>
      </c>
      <c r="I31" s="40">
        <f t="shared" si="1"/>
        <v>756000</v>
      </c>
    </row>
    <row r="32" spans="1:10" outlineLevel="1" x14ac:dyDescent="0.2">
      <c r="A32" s="7" t="s">
        <v>61</v>
      </c>
      <c r="B32" s="8"/>
      <c r="C32" s="14">
        <v>0</v>
      </c>
      <c r="D32" s="10" t="s">
        <v>15</v>
      </c>
      <c r="E32" s="12">
        <v>300</v>
      </c>
      <c r="F32" s="7" t="s">
        <v>62</v>
      </c>
      <c r="G32" s="41">
        <f t="shared" si="3"/>
        <v>0</v>
      </c>
      <c r="H32" s="39" t="s">
        <v>156</v>
      </c>
      <c r="I32" s="40">
        <f t="shared" si="1"/>
        <v>0</v>
      </c>
    </row>
    <row r="33" spans="1:10" outlineLevel="1" x14ac:dyDescent="0.2">
      <c r="A33" s="7" t="s">
        <v>63</v>
      </c>
      <c r="B33" s="8"/>
      <c r="C33" s="9">
        <v>0</v>
      </c>
      <c r="D33" s="10" t="s">
        <v>15</v>
      </c>
      <c r="E33" s="13">
        <v>11200</v>
      </c>
      <c r="F33" s="7" t="s">
        <v>64</v>
      </c>
      <c r="G33" s="41">
        <f t="shared" si="3"/>
        <v>0</v>
      </c>
      <c r="H33" s="39" t="s">
        <v>156</v>
      </c>
      <c r="I33" s="40">
        <f t="shared" si="1"/>
        <v>0</v>
      </c>
    </row>
    <row r="34" spans="1:10" outlineLevel="1" x14ac:dyDescent="0.2">
      <c r="A34" s="7" t="s">
        <v>65</v>
      </c>
      <c r="B34" s="8"/>
      <c r="C34" s="9">
        <v>42</v>
      </c>
      <c r="D34" s="10" t="s">
        <v>15</v>
      </c>
      <c r="E34" s="12">
        <v>850</v>
      </c>
      <c r="F34" s="7" t="s">
        <v>66</v>
      </c>
      <c r="G34" s="41">
        <f t="shared" si="3"/>
        <v>35700</v>
      </c>
      <c r="H34" s="39" t="s">
        <v>156</v>
      </c>
      <c r="I34" s="40">
        <f t="shared" si="1"/>
        <v>428400</v>
      </c>
      <c r="J34" s="68">
        <f>0.5*I34</f>
        <v>214200</v>
      </c>
    </row>
    <row r="35" spans="1:10" x14ac:dyDescent="0.2">
      <c r="A35" s="15"/>
      <c r="B35" s="15"/>
      <c r="C35" s="15"/>
      <c r="D35" s="15"/>
      <c r="E35" s="16"/>
      <c r="F35" s="15"/>
      <c r="G35" s="38">
        <f>SUM(G20:G34)</f>
        <v>1001170</v>
      </c>
      <c r="H35" s="33"/>
      <c r="I35" s="38">
        <f>SUM(I20:I34)</f>
        <v>10406940</v>
      </c>
      <c r="J35" s="69">
        <f>+SUM(J20:J34)/$I$35</f>
        <v>4.2517781403563389E-2</v>
      </c>
    </row>
    <row r="36" spans="1:10" x14ac:dyDescent="0.2">
      <c r="A36" s="1" t="s">
        <v>67</v>
      </c>
      <c r="B36" s="2"/>
      <c r="C36" s="3"/>
      <c r="D36" s="4"/>
      <c r="E36" s="6"/>
      <c r="F36" s="5"/>
      <c r="G36" s="37"/>
      <c r="H36" s="6"/>
      <c r="I36" s="6"/>
    </row>
    <row r="37" spans="1:10" outlineLevel="1" x14ac:dyDescent="0.2">
      <c r="A37" s="7" t="s">
        <v>68</v>
      </c>
      <c r="B37" s="8">
        <v>3</v>
      </c>
      <c r="C37" s="9">
        <v>42</v>
      </c>
      <c r="D37" s="10" t="s">
        <v>15</v>
      </c>
      <c r="E37" s="12">
        <v>185</v>
      </c>
      <c r="F37" s="7" t="s">
        <v>69</v>
      </c>
      <c r="G37" s="41">
        <f>B37*C37*E37</f>
        <v>23310</v>
      </c>
      <c r="H37" s="39" t="s">
        <v>156</v>
      </c>
      <c r="I37" s="40">
        <f t="shared" si="1"/>
        <v>279720</v>
      </c>
    </row>
    <row r="38" spans="1:10" outlineLevel="1" x14ac:dyDescent="0.2">
      <c r="A38" s="7" t="s">
        <v>70</v>
      </c>
      <c r="B38" s="8">
        <v>1</v>
      </c>
      <c r="C38" s="9">
        <v>42</v>
      </c>
      <c r="D38" s="10" t="s">
        <v>15</v>
      </c>
      <c r="E38" s="12">
        <v>125</v>
      </c>
      <c r="F38" s="7" t="s">
        <v>71</v>
      </c>
      <c r="G38" s="41">
        <f t="shared" ref="G38:G44" si="4">B38*C38*E38</f>
        <v>5250</v>
      </c>
      <c r="H38" s="39" t="s">
        <v>156</v>
      </c>
      <c r="I38" s="40">
        <f t="shared" si="1"/>
        <v>63000</v>
      </c>
    </row>
    <row r="39" spans="1:10" outlineLevel="1" x14ac:dyDescent="0.2">
      <c r="A39" s="7" t="s">
        <v>72</v>
      </c>
      <c r="B39" s="8">
        <v>1</v>
      </c>
      <c r="C39" s="9">
        <v>42</v>
      </c>
      <c r="D39" s="10" t="s">
        <v>15</v>
      </c>
      <c r="E39" s="12">
        <v>1800</v>
      </c>
      <c r="F39" s="7" t="s">
        <v>73</v>
      </c>
      <c r="G39" s="41">
        <f t="shared" si="4"/>
        <v>75600</v>
      </c>
      <c r="H39" s="39" t="s">
        <v>156</v>
      </c>
      <c r="I39" s="40">
        <f t="shared" si="1"/>
        <v>907200</v>
      </c>
    </row>
    <row r="40" spans="1:10" outlineLevel="1" x14ac:dyDescent="0.2">
      <c r="A40" s="7" t="s">
        <v>74</v>
      </c>
      <c r="B40" s="8">
        <v>1</v>
      </c>
      <c r="C40" s="9">
        <v>42</v>
      </c>
      <c r="D40" s="10" t="s">
        <v>15</v>
      </c>
      <c r="E40" s="12">
        <v>1375</v>
      </c>
      <c r="F40" s="7" t="s">
        <v>75</v>
      </c>
      <c r="G40" s="41">
        <f t="shared" si="4"/>
        <v>57750</v>
      </c>
      <c r="H40" s="39" t="s">
        <v>156</v>
      </c>
      <c r="I40" s="40">
        <f t="shared" si="1"/>
        <v>693000</v>
      </c>
    </row>
    <row r="41" spans="1:10" outlineLevel="1" x14ac:dyDescent="0.2">
      <c r="A41" s="7" t="s">
        <v>76</v>
      </c>
      <c r="B41" s="8">
        <v>0</v>
      </c>
      <c r="C41" s="9">
        <v>0</v>
      </c>
      <c r="D41" s="10" t="s">
        <v>15</v>
      </c>
      <c r="E41" s="12">
        <v>675</v>
      </c>
      <c r="F41" s="7" t="s">
        <v>77</v>
      </c>
      <c r="G41" s="41">
        <f t="shared" si="4"/>
        <v>0</v>
      </c>
      <c r="H41" s="39" t="s">
        <v>156</v>
      </c>
      <c r="I41" s="40">
        <f t="shared" si="1"/>
        <v>0</v>
      </c>
    </row>
    <row r="42" spans="1:10" outlineLevel="1" x14ac:dyDescent="0.2">
      <c r="A42" s="7" t="s">
        <v>78</v>
      </c>
      <c r="B42" s="8">
        <v>1</v>
      </c>
      <c r="C42" s="9">
        <v>42</v>
      </c>
      <c r="D42" s="10" t="s">
        <v>15</v>
      </c>
      <c r="E42" s="12">
        <v>205</v>
      </c>
      <c r="F42" s="7" t="s">
        <v>79</v>
      </c>
      <c r="G42" s="41">
        <f t="shared" si="4"/>
        <v>8610</v>
      </c>
      <c r="H42" s="39" t="s">
        <v>156</v>
      </c>
      <c r="I42" s="40">
        <f t="shared" si="1"/>
        <v>103320</v>
      </c>
    </row>
    <row r="43" spans="1:10" outlineLevel="1" x14ac:dyDescent="0.2">
      <c r="A43" s="7" t="s">
        <v>80</v>
      </c>
      <c r="B43" s="8">
        <v>0</v>
      </c>
      <c r="C43" s="9">
        <v>0</v>
      </c>
      <c r="D43" s="10" t="s">
        <v>15</v>
      </c>
      <c r="E43" s="12">
        <v>3150</v>
      </c>
      <c r="F43" s="7" t="s">
        <v>81</v>
      </c>
      <c r="G43" s="41">
        <f t="shared" si="4"/>
        <v>0</v>
      </c>
      <c r="H43" s="39" t="s">
        <v>156</v>
      </c>
      <c r="I43" s="40">
        <f t="shared" si="1"/>
        <v>0</v>
      </c>
    </row>
    <row r="44" spans="1:10" outlineLevel="1" x14ac:dyDescent="0.2">
      <c r="A44" s="7" t="s">
        <v>82</v>
      </c>
      <c r="B44" s="8">
        <v>80</v>
      </c>
      <c r="C44" s="9">
        <v>42</v>
      </c>
      <c r="D44" s="10" t="s">
        <v>15</v>
      </c>
      <c r="E44" s="12">
        <v>10</v>
      </c>
      <c r="F44" s="7" t="s">
        <v>83</v>
      </c>
      <c r="G44" s="41">
        <f t="shared" si="4"/>
        <v>33600</v>
      </c>
      <c r="H44" s="39" t="s">
        <v>156</v>
      </c>
      <c r="I44" s="40">
        <f t="shared" si="1"/>
        <v>403200</v>
      </c>
    </row>
    <row r="45" spans="1:10" x14ac:dyDescent="0.2">
      <c r="A45" s="15"/>
      <c r="B45" s="15"/>
      <c r="C45" s="15"/>
      <c r="D45" s="15"/>
      <c r="E45" s="16"/>
      <c r="F45" s="15"/>
      <c r="G45" s="38">
        <f>SUM(G37:G44)</f>
        <v>204120</v>
      </c>
      <c r="H45" s="33"/>
      <c r="I45" s="38">
        <f>SUM(I37:I44)</f>
        <v>2449440</v>
      </c>
    </row>
    <row r="46" spans="1:10" x14ac:dyDescent="0.2">
      <c r="A46" s="1" t="s">
        <v>84</v>
      </c>
      <c r="B46" s="2"/>
      <c r="C46" s="3"/>
      <c r="D46" s="4"/>
      <c r="E46" s="6"/>
      <c r="F46" s="5"/>
      <c r="G46" s="37"/>
      <c r="H46" s="6"/>
      <c r="I46" s="6"/>
    </row>
    <row r="47" spans="1:10" outlineLevel="1" x14ac:dyDescent="0.2">
      <c r="A47" s="7" t="s">
        <v>85</v>
      </c>
      <c r="B47" s="8"/>
      <c r="C47" s="14">
        <v>1</v>
      </c>
      <c r="D47" s="10" t="s">
        <v>12</v>
      </c>
      <c r="E47" s="12">
        <v>2500</v>
      </c>
      <c r="F47" s="7" t="s">
        <v>86</v>
      </c>
      <c r="G47" s="41">
        <f t="shared" ref="G47:G53" si="5">C47*E47</f>
        <v>2500</v>
      </c>
      <c r="H47" s="39" t="s">
        <v>156</v>
      </c>
      <c r="I47" s="40">
        <f t="shared" si="1"/>
        <v>30000</v>
      </c>
    </row>
    <row r="48" spans="1:10" outlineLevel="1" x14ac:dyDescent="0.2">
      <c r="A48" s="7" t="s">
        <v>87</v>
      </c>
      <c r="B48" s="8"/>
      <c r="C48" s="14">
        <v>4</v>
      </c>
      <c r="D48" s="10" t="s">
        <v>12</v>
      </c>
      <c r="E48" s="12">
        <v>12500</v>
      </c>
      <c r="F48" s="7" t="s">
        <v>88</v>
      </c>
      <c r="G48" s="41">
        <f t="shared" si="5"/>
        <v>50000</v>
      </c>
      <c r="H48" s="39" t="s">
        <v>156</v>
      </c>
      <c r="I48" s="40">
        <f t="shared" si="1"/>
        <v>600000</v>
      </c>
    </row>
    <row r="49" spans="1:10" outlineLevel="1" x14ac:dyDescent="0.2">
      <c r="A49" s="7" t="s">
        <v>89</v>
      </c>
      <c r="B49" s="8"/>
      <c r="C49" s="14">
        <v>4</v>
      </c>
      <c r="D49" s="10" t="s">
        <v>12</v>
      </c>
      <c r="E49" s="12">
        <v>10000</v>
      </c>
      <c r="F49" s="7" t="s">
        <v>90</v>
      </c>
      <c r="G49" s="41">
        <f t="shared" si="5"/>
        <v>40000</v>
      </c>
      <c r="H49" s="39" t="s">
        <v>156</v>
      </c>
      <c r="I49" s="40">
        <f t="shared" si="1"/>
        <v>480000</v>
      </c>
    </row>
    <row r="50" spans="1:10" outlineLevel="1" x14ac:dyDescent="0.2">
      <c r="A50" s="7" t="s">
        <v>91</v>
      </c>
      <c r="B50" s="8"/>
      <c r="C50" s="14">
        <v>0</v>
      </c>
      <c r="D50" s="10" t="s">
        <v>12</v>
      </c>
      <c r="E50" s="12">
        <v>0</v>
      </c>
      <c r="F50" s="7" t="s">
        <v>92</v>
      </c>
      <c r="G50" s="41">
        <f t="shared" si="5"/>
        <v>0</v>
      </c>
      <c r="H50" s="39" t="s">
        <v>156</v>
      </c>
      <c r="I50" s="40">
        <f t="shared" si="1"/>
        <v>0</v>
      </c>
    </row>
    <row r="51" spans="1:10" outlineLevel="1" x14ac:dyDescent="0.2">
      <c r="A51" s="7" t="s">
        <v>93</v>
      </c>
      <c r="B51" s="8"/>
      <c r="C51" s="14">
        <v>100</v>
      </c>
      <c r="D51" s="10" t="s">
        <v>94</v>
      </c>
      <c r="E51" s="12">
        <v>100</v>
      </c>
      <c r="F51" s="7" t="s">
        <v>95</v>
      </c>
      <c r="G51" s="41">
        <f t="shared" si="5"/>
        <v>10000</v>
      </c>
      <c r="H51" s="39" t="s">
        <v>156</v>
      </c>
      <c r="I51" s="40">
        <f t="shared" si="1"/>
        <v>120000</v>
      </c>
    </row>
    <row r="52" spans="1:10" outlineLevel="1" x14ac:dyDescent="0.2">
      <c r="A52" s="7" t="s">
        <v>96</v>
      </c>
      <c r="B52" s="8"/>
      <c r="C52" s="14">
        <v>800</v>
      </c>
      <c r="D52" s="10" t="s">
        <v>94</v>
      </c>
      <c r="E52" s="12">
        <v>500</v>
      </c>
      <c r="F52" s="7" t="s">
        <v>95</v>
      </c>
      <c r="G52" s="41">
        <f t="shared" si="5"/>
        <v>400000</v>
      </c>
      <c r="H52" s="39" t="s">
        <v>156</v>
      </c>
      <c r="I52" s="40">
        <f t="shared" si="1"/>
        <v>4800000</v>
      </c>
    </row>
    <row r="53" spans="1:10" outlineLevel="1" x14ac:dyDescent="0.2">
      <c r="A53" s="7" t="s">
        <v>97</v>
      </c>
      <c r="B53" s="8"/>
      <c r="C53" s="9">
        <v>8</v>
      </c>
      <c r="D53" s="10" t="s">
        <v>15</v>
      </c>
      <c r="E53" s="12">
        <v>775</v>
      </c>
      <c r="F53" s="7" t="s">
        <v>98</v>
      </c>
      <c r="G53" s="41">
        <f t="shared" si="5"/>
        <v>6200</v>
      </c>
      <c r="H53" s="39" t="s">
        <v>156</v>
      </c>
      <c r="I53" s="40">
        <f t="shared" si="1"/>
        <v>74400</v>
      </c>
      <c r="J53" s="43">
        <f>+I53</f>
        <v>74400</v>
      </c>
    </row>
    <row r="54" spans="1:10" outlineLevel="1" x14ac:dyDescent="0.2">
      <c r="A54" s="7" t="s">
        <v>99</v>
      </c>
      <c r="B54" s="8"/>
      <c r="C54" s="9">
        <v>0</v>
      </c>
      <c r="D54" s="10" t="s">
        <v>12</v>
      </c>
      <c r="E54" s="13">
        <v>10000</v>
      </c>
      <c r="F54" s="7" t="s">
        <v>100</v>
      </c>
      <c r="G54" s="41">
        <f t="shared" ref="G54:G57" si="6">B54*C54*E54</f>
        <v>0</v>
      </c>
      <c r="H54" s="39" t="s">
        <v>156</v>
      </c>
      <c r="I54" s="40">
        <f t="shared" si="1"/>
        <v>0</v>
      </c>
    </row>
    <row r="55" spans="1:10" outlineLevel="1" x14ac:dyDescent="0.2">
      <c r="A55" s="7" t="s">
        <v>101</v>
      </c>
      <c r="B55" s="8"/>
      <c r="C55" s="9">
        <v>0</v>
      </c>
      <c r="D55" s="10" t="s">
        <v>12</v>
      </c>
      <c r="E55" s="13">
        <v>15000</v>
      </c>
      <c r="F55" s="7" t="s">
        <v>102</v>
      </c>
      <c r="G55" s="41">
        <f t="shared" si="6"/>
        <v>0</v>
      </c>
      <c r="H55" s="39" t="s">
        <v>156</v>
      </c>
      <c r="I55" s="40">
        <f t="shared" si="1"/>
        <v>0</v>
      </c>
    </row>
    <row r="56" spans="1:10" outlineLevel="1" x14ac:dyDescent="0.2">
      <c r="A56" s="7" t="s">
        <v>103</v>
      </c>
      <c r="B56" s="8">
        <v>0</v>
      </c>
      <c r="C56" s="9">
        <v>4375</v>
      </c>
      <c r="D56" s="10" t="s">
        <v>104</v>
      </c>
      <c r="E56" s="12">
        <v>10</v>
      </c>
      <c r="F56" s="7" t="s">
        <v>105</v>
      </c>
      <c r="G56" s="41">
        <f t="shared" si="6"/>
        <v>0</v>
      </c>
      <c r="H56" s="39" t="s">
        <v>156</v>
      </c>
      <c r="I56" s="40">
        <f t="shared" si="1"/>
        <v>0</v>
      </c>
    </row>
    <row r="57" spans="1:10" outlineLevel="1" x14ac:dyDescent="0.2">
      <c r="A57" s="17" t="s">
        <v>106</v>
      </c>
      <c r="B57" s="18">
        <v>0</v>
      </c>
      <c r="C57" s="14">
        <v>3</v>
      </c>
      <c r="D57" s="10" t="s">
        <v>12</v>
      </c>
      <c r="E57" s="12">
        <v>750</v>
      </c>
      <c r="F57" s="7" t="s">
        <v>107</v>
      </c>
      <c r="G57" s="41">
        <f t="shared" si="6"/>
        <v>0</v>
      </c>
      <c r="H57" s="39" t="s">
        <v>156</v>
      </c>
      <c r="I57" s="40">
        <f t="shared" si="1"/>
        <v>0</v>
      </c>
    </row>
    <row r="58" spans="1:10" outlineLevel="1" x14ac:dyDescent="0.2">
      <c r="A58" s="7" t="s">
        <v>108</v>
      </c>
      <c r="B58" s="18">
        <v>1</v>
      </c>
      <c r="C58" s="14">
        <v>1</v>
      </c>
      <c r="D58" s="10" t="s">
        <v>12</v>
      </c>
      <c r="E58" s="12">
        <v>1500</v>
      </c>
      <c r="F58" s="7" t="s">
        <v>109</v>
      </c>
      <c r="G58" s="41">
        <f t="shared" ref="G58:G61" si="7">C58*E58</f>
        <v>1500</v>
      </c>
      <c r="H58" s="39" t="s">
        <v>156</v>
      </c>
      <c r="I58" s="40">
        <f t="shared" si="1"/>
        <v>18000</v>
      </c>
    </row>
    <row r="59" spans="1:10" outlineLevel="1" x14ac:dyDescent="0.2">
      <c r="A59" s="7" t="s">
        <v>110</v>
      </c>
      <c r="B59" s="8"/>
      <c r="C59" s="9">
        <v>42</v>
      </c>
      <c r="D59" s="10" t="s">
        <v>15</v>
      </c>
      <c r="E59" s="12">
        <v>900</v>
      </c>
      <c r="F59" s="7" t="s">
        <v>111</v>
      </c>
      <c r="G59" s="41">
        <f t="shared" si="7"/>
        <v>37800</v>
      </c>
      <c r="H59" s="39" t="s">
        <v>156</v>
      </c>
      <c r="I59" s="40">
        <f t="shared" si="1"/>
        <v>453600</v>
      </c>
      <c r="J59" s="68">
        <f>0.4*I59</f>
        <v>181440</v>
      </c>
    </row>
    <row r="60" spans="1:10" outlineLevel="1" x14ac:dyDescent="0.2">
      <c r="A60" s="7" t="s">
        <v>112</v>
      </c>
      <c r="B60" s="8"/>
      <c r="C60" s="9">
        <v>38</v>
      </c>
      <c r="D60" s="10" t="s">
        <v>15</v>
      </c>
      <c r="E60" s="13">
        <v>9500</v>
      </c>
      <c r="F60" s="7" t="s">
        <v>113</v>
      </c>
      <c r="G60" s="41">
        <f t="shared" si="7"/>
        <v>361000</v>
      </c>
      <c r="H60" s="39" t="s">
        <v>156</v>
      </c>
      <c r="I60" s="40">
        <f t="shared" si="1"/>
        <v>4332000</v>
      </c>
      <c r="J60" s="68">
        <f>0.4*I60</f>
        <v>1732800</v>
      </c>
    </row>
    <row r="61" spans="1:10" outlineLevel="1" x14ac:dyDescent="0.2">
      <c r="A61" s="7" t="s">
        <v>114</v>
      </c>
      <c r="B61" s="8"/>
      <c r="C61" s="9">
        <v>42</v>
      </c>
      <c r="D61" s="10" t="s">
        <v>15</v>
      </c>
      <c r="E61" s="12">
        <v>1500</v>
      </c>
      <c r="F61" s="7" t="s">
        <v>115</v>
      </c>
      <c r="G61" s="41">
        <f t="shared" si="7"/>
        <v>63000</v>
      </c>
      <c r="H61" s="39" t="s">
        <v>156</v>
      </c>
      <c r="I61" s="40">
        <f t="shared" si="1"/>
        <v>756000</v>
      </c>
      <c r="J61" s="68">
        <f>0.5*I61</f>
        <v>378000</v>
      </c>
    </row>
    <row r="62" spans="1:10" outlineLevel="1" x14ac:dyDescent="0.2">
      <c r="A62" s="7" t="s">
        <v>116</v>
      </c>
      <c r="B62" s="18">
        <v>0</v>
      </c>
      <c r="C62" s="9">
        <v>38</v>
      </c>
      <c r="D62" s="10" t="s">
        <v>15</v>
      </c>
      <c r="E62" s="12">
        <v>1600</v>
      </c>
      <c r="F62" s="7" t="s">
        <v>117</v>
      </c>
      <c r="G62" s="41">
        <f t="shared" ref="G62:G64" si="8">B62*C62*E62</f>
        <v>0</v>
      </c>
      <c r="H62" s="39" t="s">
        <v>156</v>
      </c>
      <c r="I62" s="40">
        <f t="shared" si="1"/>
        <v>0</v>
      </c>
    </row>
    <row r="63" spans="1:10" outlineLevel="1" x14ac:dyDescent="0.2">
      <c r="A63" s="7" t="s">
        <v>118</v>
      </c>
      <c r="B63" s="18">
        <v>0</v>
      </c>
      <c r="C63" s="9">
        <v>800</v>
      </c>
      <c r="D63" s="10" t="s">
        <v>94</v>
      </c>
      <c r="E63" s="12">
        <v>50</v>
      </c>
      <c r="F63" s="7" t="s">
        <v>119</v>
      </c>
      <c r="G63" s="41">
        <f t="shared" si="8"/>
        <v>0</v>
      </c>
      <c r="H63" s="39" t="s">
        <v>156</v>
      </c>
      <c r="I63" s="40">
        <f t="shared" si="1"/>
        <v>0</v>
      </c>
    </row>
    <row r="64" spans="1:10" outlineLevel="1" x14ac:dyDescent="0.2">
      <c r="A64" s="7" t="s">
        <v>120</v>
      </c>
      <c r="B64" s="18">
        <v>0</v>
      </c>
      <c r="C64" s="9">
        <v>38</v>
      </c>
      <c r="D64" s="10" t="s">
        <v>15</v>
      </c>
      <c r="E64" s="12">
        <v>1400</v>
      </c>
      <c r="F64" s="7" t="s">
        <v>121</v>
      </c>
      <c r="G64" s="41">
        <f t="shared" si="8"/>
        <v>0</v>
      </c>
      <c r="H64" s="39" t="s">
        <v>156</v>
      </c>
      <c r="I64" s="40">
        <f t="shared" si="1"/>
        <v>0</v>
      </c>
    </row>
    <row r="65" spans="1:10" outlineLevel="1" x14ac:dyDescent="0.2">
      <c r="A65" s="7" t="s">
        <v>122</v>
      </c>
      <c r="B65" s="8"/>
      <c r="C65" s="14">
        <v>1</v>
      </c>
      <c r="D65" s="10" t="s">
        <v>12</v>
      </c>
      <c r="E65" s="12">
        <v>2500</v>
      </c>
      <c r="F65" s="7" t="s">
        <v>123</v>
      </c>
      <c r="G65" s="41">
        <f t="shared" ref="G65:G66" si="9">C65*E65</f>
        <v>2500</v>
      </c>
      <c r="H65" s="39" t="s">
        <v>156</v>
      </c>
      <c r="I65" s="40">
        <f t="shared" si="1"/>
        <v>30000</v>
      </c>
      <c r="J65" s="43">
        <f>+I65</f>
        <v>30000</v>
      </c>
    </row>
    <row r="66" spans="1:10" outlineLevel="1" x14ac:dyDescent="0.2">
      <c r="A66" s="7" t="s">
        <v>124</v>
      </c>
      <c r="B66" s="8"/>
      <c r="C66" s="14">
        <v>1</v>
      </c>
      <c r="D66" s="10" t="s">
        <v>12</v>
      </c>
      <c r="E66" s="12">
        <v>2625</v>
      </c>
      <c r="F66" s="7" t="s">
        <v>123</v>
      </c>
      <c r="G66" s="41">
        <f t="shared" si="9"/>
        <v>2625</v>
      </c>
      <c r="H66" s="39" t="s">
        <v>156</v>
      </c>
      <c r="I66" s="40">
        <f t="shared" si="1"/>
        <v>31500</v>
      </c>
      <c r="J66" s="43">
        <f>+I66</f>
        <v>31500</v>
      </c>
    </row>
    <row r="67" spans="1:10" x14ac:dyDescent="0.2">
      <c r="A67" s="15"/>
      <c r="B67" s="15"/>
      <c r="C67" s="15"/>
      <c r="D67" s="15"/>
      <c r="E67" s="16"/>
      <c r="F67" s="15"/>
      <c r="G67" s="38">
        <f>SUM(G47:G66)</f>
        <v>977125</v>
      </c>
      <c r="H67" s="33"/>
      <c r="I67" s="38">
        <f>SUM(I47:I66)</f>
        <v>11725500</v>
      </c>
      <c r="J67" s="69">
        <f>+SUM(J47:J66)/$I$67</f>
        <v>0.20708200076755789</v>
      </c>
    </row>
    <row r="68" spans="1:10" x14ac:dyDescent="0.2">
      <c r="A68" s="1" t="s">
        <v>125</v>
      </c>
      <c r="B68" s="2"/>
      <c r="C68" s="3"/>
      <c r="D68" s="4"/>
      <c r="E68" s="6"/>
      <c r="F68" s="5"/>
      <c r="G68" s="37"/>
      <c r="H68" s="6"/>
      <c r="I68" s="6"/>
    </row>
    <row r="69" spans="1:10" outlineLevel="1" x14ac:dyDescent="0.2">
      <c r="A69" s="7" t="s">
        <v>126</v>
      </c>
      <c r="B69" s="8"/>
      <c r="C69" s="9">
        <v>625</v>
      </c>
      <c r="D69" s="10" t="s">
        <v>127</v>
      </c>
      <c r="E69" s="12">
        <v>72</v>
      </c>
      <c r="F69" s="19" t="s">
        <v>128</v>
      </c>
      <c r="G69" s="41">
        <f t="shared" ref="G69:G72" si="10">C69*E69</f>
        <v>45000</v>
      </c>
      <c r="H69" s="39" t="s">
        <v>156</v>
      </c>
      <c r="I69" s="40">
        <f t="shared" ref="I69:I124" si="11">IF(H69="Y",G69*12,G69)</f>
        <v>540000</v>
      </c>
      <c r="J69" s="68">
        <f>0.3*I69</f>
        <v>162000</v>
      </c>
    </row>
    <row r="70" spans="1:10" outlineLevel="1" x14ac:dyDescent="0.2">
      <c r="A70" s="7" t="s">
        <v>129</v>
      </c>
      <c r="B70" s="8"/>
      <c r="C70" s="9">
        <v>62.5</v>
      </c>
      <c r="D70" s="10" t="s">
        <v>12</v>
      </c>
      <c r="E70" s="12">
        <v>26</v>
      </c>
      <c r="F70" s="7" t="s">
        <v>130</v>
      </c>
      <c r="G70" s="41">
        <f t="shared" si="10"/>
        <v>1625</v>
      </c>
      <c r="H70" s="39" t="s">
        <v>156</v>
      </c>
      <c r="I70" s="40">
        <f t="shared" si="11"/>
        <v>19500</v>
      </c>
    </row>
    <row r="71" spans="1:10" outlineLevel="1" x14ac:dyDescent="0.2">
      <c r="A71" s="7" t="s">
        <v>131</v>
      </c>
      <c r="B71" s="8"/>
      <c r="C71" s="9">
        <v>625</v>
      </c>
      <c r="D71" s="10" t="s">
        <v>127</v>
      </c>
      <c r="E71" s="12">
        <v>10</v>
      </c>
      <c r="F71" s="7" t="s">
        <v>132</v>
      </c>
      <c r="G71" s="41">
        <f t="shared" si="10"/>
        <v>6250</v>
      </c>
      <c r="H71" s="39" t="s">
        <v>156</v>
      </c>
      <c r="I71" s="40">
        <f t="shared" si="11"/>
        <v>75000</v>
      </c>
      <c r="J71" s="68">
        <f>0.3*I71</f>
        <v>22500</v>
      </c>
    </row>
    <row r="72" spans="1:10" outlineLevel="1" x14ac:dyDescent="0.2">
      <c r="A72" s="7" t="s">
        <v>133</v>
      </c>
      <c r="B72" s="8"/>
      <c r="C72" s="9">
        <v>625</v>
      </c>
      <c r="D72" s="10" t="s">
        <v>127</v>
      </c>
      <c r="E72" s="12">
        <v>30</v>
      </c>
      <c r="F72" s="7" t="s">
        <v>134</v>
      </c>
      <c r="G72" s="41">
        <f t="shared" si="10"/>
        <v>18750</v>
      </c>
      <c r="H72" s="39" t="s">
        <v>156</v>
      </c>
      <c r="I72" s="40">
        <f t="shared" si="11"/>
        <v>225000</v>
      </c>
    </row>
    <row r="73" spans="1:10" outlineLevel="1" x14ac:dyDescent="0.2">
      <c r="A73" s="7"/>
      <c r="B73" s="8"/>
      <c r="C73" s="14"/>
      <c r="D73" s="10"/>
      <c r="E73" s="12"/>
      <c r="F73" s="7"/>
      <c r="G73" s="41"/>
      <c r="H73" s="39" t="s">
        <v>156</v>
      </c>
      <c r="I73" s="40">
        <f t="shared" si="11"/>
        <v>0</v>
      </c>
    </row>
    <row r="74" spans="1:10" outlineLevel="1" x14ac:dyDescent="0.2">
      <c r="A74" s="7" t="s">
        <v>135</v>
      </c>
      <c r="B74" s="8"/>
      <c r="C74" s="9">
        <v>2900</v>
      </c>
      <c r="D74" s="10" t="s">
        <v>127</v>
      </c>
      <c r="E74" s="12">
        <v>60</v>
      </c>
      <c r="F74" s="20" t="s">
        <v>136</v>
      </c>
      <c r="G74" s="41">
        <f t="shared" ref="G74:G77" si="12">C74*E74</f>
        <v>174000</v>
      </c>
      <c r="H74" s="39" t="s">
        <v>156</v>
      </c>
      <c r="I74" s="40">
        <f t="shared" si="11"/>
        <v>2088000</v>
      </c>
      <c r="J74" s="68">
        <f>0.3*I74</f>
        <v>626400</v>
      </c>
    </row>
    <row r="75" spans="1:10" outlineLevel="1" x14ac:dyDescent="0.2">
      <c r="A75" s="7" t="s">
        <v>129</v>
      </c>
      <c r="B75" s="8"/>
      <c r="C75" s="9">
        <v>290</v>
      </c>
      <c r="D75" s="10" t="s">
        <v>12</v>
      </c>
      <c r="E75" s="12">
        <v>10</v>
      </c>
      <c r="F75" s="7" t="s">
        <v>130</v>
      </c>
      <c r="G75" s="41">
        <f t="shared" si="12"/>
        <v>2900</v>
      </c>
      <c r="H75" s="39" t="s">
        <v>156</v>
      </c>
      <c r="I75" s="40">
        <f t="shared" si="11"/>
        <v>34800</v>
      </c>
    </row>
    <row r="76" spans="1:10" outlineLevel="1" x14ac:dyDescent="0.2">
      <c r="A76" s="7" t="s">
        <v>131</v>
      </c>
      <c r="B76" s="8"/>
      <c r="C76" s="9">
        <v>2900</v>
      </c>
      <c r="D76" s="10" t="s">
        <v>127</v>
      </c>
      <c r="E76" s="12">
        <v>3</v>
      </c>
      <c r="F76" s="7" t="s">
        <v>132</v>
      </c>
      <c r="G76" s="41">
        <f t="shared" si="12"/>
        <v>8700</v>
      </c>
      <c r="H76" s="39" t="s">
        <v>156</v>
      </c>
      <c r="I76" s="40">
        <f t="shared" si="11"/>
        <v>104400</v>
      </c>
      <c r="J76" s="68">
        <f>0.3*I76</f>
        <v>31320</v>
      </c>
    </row>
    <row r="77" spans="1:10" outlineLevel="1" x14ac:dyDescent="0.2">
      <c r="A77" s="7" t="s">
        <v>133</v>
      </c>
      <c r="B77" s="8"/>
      <c r="C77" s="9">
        <v>2900</v>
      </c>
      <c r="D77" s="10" t="s">
        <v>127</v>
      </c>
      <c r="E77" s="12">
        <v>12</v>
      </c>
      <c r="F77" s="7" t="s">
        <v>134</v>
      </c>
      <c r="G77" s="41">
        <f t="shared" si="12"/>
        <v>34800</v>
      </c>
      <c r="H77" s="39" t="s">
        <v>156</v>
      </c>
      <c r="I77" s="40">
        <f t="shared" si="11"/>
        <v>417600</v>
      </c>
    </row>
    <row r="78" spans="1:10" outlineLevel="1" x14ac:dyDescent="0.2">
      <c r="A78" s="7"/>
      <c r="B78" s="8"/>
      <c r="C78" s="14"/>
      <c r="D78" s="10"/>
      <c r="E78" s="12"/>
      <c r="F78" s="7"/>
      <c r="G78" s="41"/>
      <c r="H78" s="39" t="s">
        <v>156</v>
      </c>
      <c r="I78" s="40">
        <f t="shared" si="11"/>
        <v>0</v>
      </c>
    </row>
    <row r="79" spans="1:10" outlineLevel="1" x14ac:dyDescent="0.2">
      <c r="A79" s="7" t="s">
        <v>137</v>
      </c>
      <c r="B79" s="8"/>
      <c r="C79" s="9">
        <v>5000</v>
      </c>
      <c r="D79" s="10" t="s">
        <v>127</v>
      </c>
      <c r="E79" s="12">
        <v>42</v>
      </c>
      <c r="F79" s="20" t="s">
        <v>138</v>
      </c>
      <c r="G79" s="41">
        <f t="shared" ref="G79:G81" si="13">C79*E79</f>
        <v>210000</v>
      </c>
      <c r="H79" s="39" t="s">
        <v>156</v>
      </c>
      <c r="I79" s="40">
        <f t="shared" si="11"/>
        <v>2520000</v>
      </c>
      <c r="J79" s="68">
        <f>0.3*I79</f>
        <v>756000</v>
      </c>
    </row>
    <row r="80" spans="1:10" outlineLevel="1" x14ac:dyDescent="0.2">
      <c r="A80" s="7" t="s">
        <v>129</v>
      </c>
      <c r="B80" s="8"/>
      <c r="C80" s="9">
        <v>500</v>
      </c>
      <c r="D80" s="10" t="s">
        <v>12</v>
      </c>
      <c r="E80" s="12">
        <v>10</v>
      </c>
      <c r="F80" s="7" t="s">
        <v>130</v>
      </c>
      <c r="G80" s="41">
        <f t="shared" si="13"/>
        <v>5000</v>
      </c>
      <c r="H80" s="39" t="s">
        <v>156</v>
      </c>
      <c r="I80" s="40">
        <f t="shared" si="11"/>
        <v>60000</v>
      </c>
    </row>
    <row r="81" spans="1:10" outlineLevel="1" x14ac:dyDescent="0.2">
      <c r="A81" s="7" t="s">
        <v>131</v>
      </c>
      <c r="B81" s="8"/>
      <c r="C81" s="9">
        <v>5000</v>
      </c>
      <c r="D81" s="10" t="s">
        <v>127</v>
      </c>
      <c r="E81" s="12">
        <v>3</v>
      </c>
      <c r="F81" s="7" t="s">
        <v>132</v>
      </c>
      <c r="G81" s="41">
        <f t="shared" si="13"/>
        <v>15000</v>
      </c>
      <c r="H81" s="39" t="s">
        <v>156</v>
      </c>
      <c r="I81" s="40">
        <f t="shared" si="11"/>
        <v>180000</v>
      </c>
      <c r="J81" s="68">
        <f>0.3*I81</f>
        <v>54000</v>
      </c>
    </row>
    <row r="82" spans="1:10" outlineLevel="1" x14ac:dyDescent="0.2">
      <c r="A82" s="7" t="s">
        <v>133</v>
      </c>
      <c r="B82" s="8"/>
      <c r="C82" s="9">
        <v>5000</v>
      </c>
      <c r="D82" s="10" t="s">
        <v>127</v>
      </c>
      <c r="E82" s="12">
        <v>0</v>
      </c>
      <c r="F82" s="7" t="s">
        <v>134</v>
      </c>
      <c r="G82" s="41">
        <v>0</v>
      </c>
      <c r="H82" s="39" t="s">
        <v>156</v>
      </c>
      <c r="I82" s="40">
        <f t="shared" si="11"/>
        <v>0</v>
      </c>
    </row>
    <row r="83" spans="1:10" outlineLevel="1" x14ac:dyDescent="0.2">
      <c r="A83" s="7"/>
      <c r="B83" s="8"/>
      <c r="C83" s="14"/>
      <c r="D83" s="10"/>
      <c r="E83" s="12"/>
      <c r="F83" s="7"/>
      <c r="G83" s="41">
        <v>0</v>
      </c>
      <c r="H83" s="39" t="s">
        <v>156</v>
      </c>
      <c r="I83" s="40">
        <f t="shared" si="11"/>
        <v>0</v>
      </c>
    </row>
    <row r="84" spans="1:10" outlineLevel="1" x14ac:dyDescent="0.2">
      <c r="A84" s="7" t="s">
        <v>139</v>
      </c>
      <c r="B84" s="8"/>
      <c r="C84" s="9">
        <v>2100</v>
      </c>
      <c r="D84" s="10" t="s">
        <v>127</v>
      </c>
      <c r="E84" s="12">
        <v>44.95</v>
      </c>
      <c r="F84" s="7" t="s">
        <v>138</v>
      </c>
      <c r="G84" s="41">
        <f t="shared" ref="G84:G89" si="14">C84*E84</f>
        <v>94395</v>
      </c>
      <c r="H84" s="39" t="s">
        <v>156</v>
      </c>
      <c r="I84" s="40">
        <f t="shared" si="11"/>
        <v>1132740</v>
      </c>
    </row>
    <row r="85" spans="1:10" outlineLevel="1" x14ac:dyDescent="0.2">
      <c r="A85" s="7" t="s">
        <v>129</v>
      </c>
      <c r="B85" s="8"/>
      <c r="C85" s="9">
        <v>210</v>
      </c>
      <c r="D85" s="10" t="s">
        <v>12</v>
      </c>
      <c r="E85" s="12">
        <v>25</v>
      </c>
      <c r="F85" s="7" t="s">
        <v>130</v>
      </c>
      <c r="G85" s="41">
        <f t="shared" si="14"/>
        <v>5250</v>
      </c>
      <c r="H85" s="39" t="s">
        <v>156</v>
      </c>
      <c r="I85" s="40">
        <f t="shared" si="11"/>
        <v>63000</v>
      </c>
    </row>
    <row r="86" spans="1:10" outlineLevel="1" x14ac:dyDescent="0.2">
      <c r="A86" s="7" t="s">
        <v>131</v>
      </c>
      <c r="B86" s="8"/>
      <c r="C86" s="9">
        <v>2100</v>
      </c>
      <c r="D86" s="10" t="s">
        <v>127</v>
      </c>
      <c r="E86" s="12">
        <v>3</v>
      </c>
      <c r="F86" s="7" t="s">
        <v>132</v>
      </c>
      <c r="G86" s="41">
        <f t="shared" si="14"/>
        <v>6300</v>
      </c>
      <c r="H86" s="39" t="s">
        <v>156</v>
      </c>
      <c r="I86" s="40">
        <f t="shared" si="11"/>
        <v>75600</v>
      </c>
      <c r="J86" s="68">
        <f>0.3*I86</f>
        <v>22680</v>
      </c>
    </row>
    <row r="87" spans="1:10" outlineLevel="1" x14ac:dyDescent="0.2">
      <c r="A87" s="7" t="s">
        <v>133</v>
      </c>
      <c r="B87" s="8"/>
      <c r="C87" s="9">
        <v>2100</v>
      </c>
      <c r="D87" s="10" t="s">
        <v>127</v>
      </c>
      <c r="E87" s="12">
        <v>0</v>
      </c>
      <c r="F87" s="7" t="s">
        <v>134</v>
      </c>
      <c r="G87" s="41">
        <f t="shared" si="14"/>
        <v>0</v>
      </c>
      <c r="H87" s="39" t="s">
        <v>156</v>
      </c>
      <c r="I87" s="40">
        <f t="shared" si="11"/>
        <v>0</v>
      </c>
    </row>
    <row r="88" spans="1:10" outlineLevel="1" x14ac:dyDescent="0.2">
      <c r="A88" s="7" t="s">
        <v>140</v>
      </c>
      <c r="B88" s="8"/>
      <c r="C88" s="14">
        <v>0</v>
      </c>
      <c r="D88" s="10" t="s">
        <v>141</v>
      </c>
      <c r="E88" s="12">
        <v>4000</v>
      </c>
      <c r="F88" s="7" t="s">
        <v>134</v>
      </c>
      <c r="G88" s="41">
        <f t="shared" si="14"/>
        <v>0</v>
      </c>
      <c r="H88" s="39" t="s">
        <v>156</v>
      </c>
      <c r="I88" s="40">
        <f t="shared" si="11"/>
        <v>0</v>
      </c>
    </row>
    <row r="89" spans="1:10" outlineLevel="1" x14ac:dyDescent="0.2">
      <c r="A89" s="7" t="s">
        <v>142</v>
      </c>
      <c r="B89" s="8"/>
      <c r="C89" s="14">
        <v>0</v>
      </c>
      <c r="D89" s="10" t="s">
        <v>141</v>
      </c>
      <c r="E89" s="12">
        <v>3000</v>
      </c>
      <c r="F89" s="7" t="s">
        <v>143</v>
      </c>
      <c r="G89" s="41">
        <f t="shared" si="14"/>
        <v>0</v>
      </c>
      <c r="H89" s="39" t="s">
        <v>156</v>
      </c>
      <c r="I89" s="40">
        <f t="shared" si="11"/>
        <v>0</v>
      </c>
    </row>
    <row r="90" spans="1:10" x14ac:dyDescent="0.2">
      <c r="A90" s="15"/>
      <c r="B90" s="15"/>
      <c r="C90" s="15"/>
      <c r="D90" s="15"/>
      <c r="E90" s="16"/>
      <c r="F90" s="15"/>
      <c r="G90" s="38">
        <f>SUM(G69:G89)</f>
        <v>627970</v>
      </c>
      <c r="H90" s="33"/>
      <c r="I90" s="38">
        <f>SUM(I69:I89)</f>
        <v>7535640</v>
      </c>
      <c r="J90" s="69">
        <f>+SUM(J69:J89)/$I$90</f>
        <v>0.22226380241094321</v>
      </c>
    </row>
    <row r="91" spans="1:10" x14ac:dyDescent="0.2">
      <c r="A91" s="1" t="s">
        <v>144</v>
      </c>
      <c r="B91" s="2"/>
      <c r="C91" s="3"/>
      <c r="D91" s="4"/>
      <c r="E91" s="6"/>
      <c r="F91" s="5"/>
      <c r="G91" s="37"/>
      <c r="H91" s="6"/>
      <c r="I91" s="6"/>
    </row>
    <row r="92" spans="1:10" outlineLevel="1" x14ac:dyDescent="0.2">
      <c r="A92" s="7" t="s">
        <v>145</v>
      </c>
      <c r="B92" s="8">
        <v>2</v>
      </c>
      <c r="C92" s="9">
        <v>42</v>
      </c>
      <c r="D92" s="10" t="s">
        <v>15</v>
      </c>
      <c r="E92" s="12">
        <v>1500</v>
      </c>
      <c r="F92" s="7" t="s">
        <v>146</v>
      </c>
      <c r="G92" s="41">
        <f t="shared" ref="G92:G93" si="15">B92*C92*E92</f>
        <v>126000</v>
      </c>
      <c r="H92" s="39" t="s">
        <v>156</v>
      </c>
      <c r="I92" s="40">
        <f t="shared" si="11"/>
        <v>1512000</v>
      </c>
      <c r="J92" s="43">
        <f>+I92</f>
        <v>1512000</v>
      </c>
    </row>
    <row r="93" spans="1:10" outlineLevel="1" x14ac:dyDescent="0.2">
      <c r="A93" s="7" t="s">
        <v>147</v>
      </c>
      <c r="B93" s="8">
        <v>1</v>
      </c>
      <c r="C93" s="14">
        <v>8</v>
      </c>
      <c r="D93" s="10" t="s">
        <v>15</v>
      </c>
      <c r="E93" s="12">
        <v>1200</v>
      </c>
      <c r="F93" s="7" t="s">
        <v>148</v>
      </c>
      <c r="G93" s="41">
        <f t="shared" si="15"/>
        <v>9600</v>
      </c>
      <c r="H93" s="39" t="s">
        <v>156</v>
      </c>
      <c r="I93" s="40">
        <f t="shared" si="11"/>
        <v>115200</v>
      </c>
      <c r="J93" s="43">
        <f>+I93</f>
        <v>115200</v>
      </c>
    </row>
    <row r="94" spans="1:10" outlineLevel="1" x14ac:dyDescent="0.2">
      <c r="A94" s="7" t="s">
        <v>149</v>
      </c>
      <c r="B94" s="8"/>
      <c r="C94" s="9">
        <v>8</v>
      </c>
      <c r="D94" s="10" t="s">
        <v>15</v>
      </c>
      <c r="E94" s="12">
        <v>730</v>
      </c>
      <c r="F94" s="7" t="s">
        <v>150</v>
      </c>
      <c r="G94" s="41">
        <f t="shared" ref="G94:G96" si="16">C94*E94</f>
        <v>5840</v>
      </c>
      <c r="H94" s="39" t="s">
        <v>156</v>
      </c>
      <c r="I94" s="40">
        <f t="shared" si="11"/>
        <v>70080</v>
      </c>
    </row>
    <row r="95" spans="1:10" outlineLevel="1" x14ac:dyDescent="0.2">
      <c r="A95" s="7" t="s">
        <v>151</v>
      </c>
      <c r="B95" s="8"/>
      <c r="C95" s="9">
        <v>42</v>
      </c>
      <c r="D95" s="10" t="s">
        <v>12</v>
      </c>
      <c r="E95" s="12">
        <v>100</v>
      </c>
      <c r="F95" s="7" t="s">
        <v>152</v>
      </c>
      <c r="G95" s="41">
        <f t="shared" si="16"/>
        <v>4200</v>
      </c>
      <c r="H95" s="39" t="s">
        <v>156</v>
      </c>
      <c r="I95" s="40">
        <f t="shared" si="11"/>
        <v>50400</v>
      </c>
    </row>
    <row r="96" spans="1:10" outlineLevel="1" x14ac:dyDescent="0.2">
      <c r="A96" s="7" t="s">
        <v>153</v>
      </c>
      <c r="B96" s="8"/>
      <c r="C96" s="9">
        <v>42</v>
      </c>
      <c r="D96" s="10" t="s">
        <v>15</v>
      </c>
      <c r="E96" s="12">
        <v>100</v>
      </c>
      <c r="F96" s="7"/>
      <c r="G96" s="41">
        <f t="shared" si="16"/>
        <v>4200</v>
      </c>
      <c r="H96" s="39" t="s">
        <v>156</v>
      </c>
      <c r="I96" s="40">
        <f t="shared" si="11"/>
        <v>50400</v>
      </c>
    </row>
    <row r="97" spans="1:10" x14ac:dyDescent="0.2">
      <c r="A97" s="15"/>
      <c r="B97" s="15"/>
      <c r="C97" s="15"/>
      <c r="D97" s="15"/>
      <c r="E97" s="16"/>
      <c r="F97" s="15"/>
      <c r="G97" s="38">
        <f>SUM(G92:G96)</f>
        <v>149840</v>
      </c>
      <c r="H97" s="33"/>
      <c r="I97" s="38">
        <f>SUM(I92:I96)</f>
        <v>1798080</v>
      </c>
      <c r="J97" s="69">
        <f>+SUM(J92:J96)/$I$97</f>
        <v>0.90496529631607048</v>
      </c>
    </row>
    <row r="98" spans="1:10" x14ac:dyDescent="0.2">
      <c r="A98" s="21" t="s">
        <v>183</v>
      </c>
      <c r="B98" s="3"/>
      <c r="C98" s="3"/>
      <c r="D98" s="3"/>
      <c r="E98" s="3"/>
      <c r="F98" s="3"/>
      <c r="G98" s="42"/>
      <c r="H98" s="3"/>
      <c r="I98" s="3"/>
    </row>
    <row r="99" spans="1:10" outlineLevel="1" x14ac:dyDescent="0.2">
      <c r="A99" s="22" t="s">
        <v>157</v>
      </c>
      <c r="B99" s="23"/>
      <c r="C99" s="24">
        <v>1</v>
      </c>
      <c r="D99" s="25" t="s">
        <v>12</v>
      </c>
      <c r="E99" s="12">
        <v>30000</v>
      </c>
      <c r="F99" s="22" t="s">
        <v>184</v>
      </c>
      <c r="G99" s="41">
        <f t="shared" ref="G99:G123" si="17">C99*E99</f>
        <v>30000</v>
      </c>
      <c r="H99" s="39" t="s">
        <v>156</v>
      </c>
      <c r="I99" s="40">
        <f t="shared" si="11"/>
        <v>360000</v>
      </c>
    </row>
    <row r="100" spans="1:10" outlineLevel="1" x14ac:dyDescent="0.2">
      <c r="A100" s="22" t="s">
        <v>158</v>
      </c>
      <c r="B100" s="23"/>
      <c r="C100" s="26">
        <v>2700</v>
      </c>
      <c r="D100" s="25" t="s">
        <v>12</v>
      </c>
      <c r="E100" s="12">
        <v>12.5</v>
      </c>
      <c r="F100" s="27" t="s">
        <v>185</v>
      </c>
      <c r="G100" s="41">
        <f t="shared" si="17"/>
        <v>33750</v>
      </c>
      <c r="H100" s="39" t="s">
        <v>156</v>
      </c>
      <c r="I100" s="40">
        <f t="shared" si="11"/>
        <v>405000</v>
      </c>
    </row>
    <row r="101" spans="1:10" outlineLevel="1" x14ac:dyDescent="0.2">
      <c r="A101" s="22" t="s">
        <v>159</v>
      </c>
      <c r="B101" s="23"/>
      <c r="C101" s="24">
        <v>1</v>
      </c>
      <c r="D101" s="25" t="s">
        <v>12</v>
      </c>
      <c r="E101" s="12">
        <v>12750</v>
      </c>
      <c r="F101" s="22" t="s">
        <v>186</v>
      </c>
      <c r="G101" s="41">
        <f t="shared" si="17"/>
        <v>12750</v>
      </c>
      <c r="H101" s="39" t="s">
        <v>156</v>
      </c>
      <c r="I101" s="40">
        <f t="shared" si="11"/>
        <v>153000</v>
      </c>
    </row>
    <row r="102" spans="1:10" outlineLevel="1" x14ac:dyDescent="0.2">
      <c r="A102" s="22" t="s">
        <v>160</v>
      </c>
      <c r="B102" s="22"/>
      <c r="C102" s="26">
        <v>8</v>
      </c>
      <c r="D102" s="25" t="s">
        <v>161</v>
      </c>
      <c r="E102" s="13">
        <v>6480</v>
      </c>
      <c r="F102" s="22" t="s">
        <v>187</v>
      </c>
      <c r="G102" s="41">
        <f t="shared" si="17"/>
        <v>51840</v>
      </c>
      <c r="H102" s="39" t="s">
        <v>156</v>
      </c>
      <c r="I102" s="40">
        <f t="shared" si="11"/>
        <v>622080</v>
      </c>
    </row>
    <row r="103" spans="1:10" outlineLevel="1" x14ac:dyDescent="0.2">
      <c r="A103" s="22" t="s">
        <v>58</v>
      </c>
      <c r="B103" s="22"/>
      <c r="C103" s="26">
        <v>0</v>
      </c>
      <c r="D103" s="25" t="s">
        <v>161</v>
      </c>
      <c r="E103" s="13">
        <v>1000</v>
      </c>
      <c r="F103" s="22" t="s">
        <v>188</v>
      </c>
      <c r="G103" s="41">
        <f t="shared" si="17"/>
        <v>0</v>
      </c>
      <c r="H103" s="39" t="s">
        <v>156</v>
      </c>
      <c r="I103" s="40">
        <f t="shared" si="11"/>
        <v>0</v>
      </c>
    </row>
    <row r="104" spans="1:10" outlineLevel="1" x14ac:dyDescent="0.2">
      <c r="A104" s="22" t="s">
        <v>162</v>
      </c>
      <c r="B104" s="22"/>
      <c r="C104" s="26">
        <v>8</v>
      </c>
      <c r="D104" s="25" t="s">
        <v>161</v>
      </c>
      <c r="E104" s="12">
        <v>750</v>
      </c>
      <c r="F104" s="22" t="s">
        <v>189</v>
      </c>
      <c r="G104" s="41">
        <f t="shared" si="17"/>
        <v>6000</v>
      </c>
      <c r="H104" s="39" t="s">
        <v>156</v>
      </c>
      <c r="I104" s="40">
        <f t="shared" si="11"/>
        <v>72000</v>
      </c>
    </row>
    <row r="105" spans="1:10" outlineLevel="1" x14ac:dyDescent="0.2">
      <c r="A105" s="22" t="s">
        <v>56</v>
      </c>
      <c r="B105" s="22"/>
      <c r="C105" s="26">
        <v>8</v>
      </c>
      <c r="D105" s="25" t="s">
        <v>161</v>
      </c>
      <c r="E105" s="12">
        <v>225</v>
      </c>
      <c r="F105" s="22" t="s">
        <v>190</v>
      </c>
      <c r="G105" s="41">
        <f t="shared" si="17"/>
        <v>1800</v>
      </c>
      <c r="H105" s="39" t="s">
        <v>156</v>
      </c>
      <c r="I105" s="40">
        <f t="shared" si="11"/>
        <v>21600</v>
      </c>
    </row>
    <row r="106" spans="1:10" outlineLevel="1" x14ac:dyDescent="0.2">
      <c r="A106" s="22" t="s">
        <v>163</v>
      </c>
      <c r="B106" s="22"/>
      <c r="C106" s="26">
        <v>8</v>
      </c>
      <c r="D106" s="25" t="s">
        <v>161</v>
      </c>
      <c r="E106" s="12">
        <v>2250</v>
      </c>
      <c r="F106" s="22" t="s">
        <v>191</v>
      </c>
      <c r="G106" s="41">
        <f t="shared" si="17"/>
        <v>18000</v>
      </c>
      <c r="H106" s="39" t="s">
        <v>156</v>
      </c>
      <c r="I106" s="40">
        <f t="shared" si="11"/>
        <v>216000</v>
      </c>
    </row>
    <row r="107" spans="1:10" outlineLevel="1" x14ac:dyDescent="0.2">
      <c r="A107" s="22" t="s">
        <v>164</v>
      </c>
      <c r="B107" s="22"/>
      <c r="C107" s="28">
        <v>2</v>
      </c>
      <c r="D107" s="25" t="s">
        <v>161</v>
      </c>
      <c r="E107" s="12">
        <v>4500</v>
      </c>
      <c r="F107" s="22" t="s">
        <v>192</v>
      </c>
      <c r="G107" s="41">
        <f t="shared" si="17"/>
        <v>9000</v>
      </c>
      <c r="H107" s="39" t="s">
        <v>156</v>
      </c>
      <c r="I107" s="40">
        <f t="shared" si="11"/>
        <v>108000</v>
      </c>
    </row>
    <row r="108" spans="1:10" outlineLevel="1" x14ac:dyDescent="0.2">
      <c r="A108" s="22" t="s">
        <v>65</v>
      </c>
      <c r="B108" s="22"/>
      <c r="C108" s="26">
        <v>8</v>
      </c>
      <c r="D108" s="25" t="s">
        <v>161</v>
      </c>
      <c r="E108" s="12">
        <v>4500</v>
      </c>
      <c r="F108" s="22" t="s">
        <v>66</v>
      </c>
      <c r="G108" s="41">
        <f t="shared" si="17"/>
        <v>36000</v>
      </c>
      <c r="H108" s="39" t="s">
        <v>156</v>
      </c>
      <c r="I108" s="40">
        <f t="shared" si="11"/>
        <v>432000</v>
      </c>
    </row>
    <row r="109" spans="1:10" outlineLevel="1" x14ac:dyDescent="0.2">
      <c r="A109" s="22" t="s">
        <v>165</v>
      </c>
      <c r="B109" s="22"/>
      <c r="C109" s="24">
        <v>1000</v>
      </c>
      <c r="D109" s="25" t="s">
        <v>166</v>
      </c>
      <c r="E109" s="12">
        <v>160</v>
      </c>
      <c r="F109" s="22" t="s">
        <v>193</v>
      </c>
      <c r="G109" s="41">
        <f t="shared" si="17"/>
        <v>160000</v>
      </c>
      <c r="H109" s="39" t="s">
        <v>156</v>
      </c>
      <c r="I109" s="40">
        <f t="shared" si="11"/>
        <v>1920000</v>
      </c>
    </row>
    <row r="110" spans="1:10" outlineLevel="1" x14ac:dyDescent="0.2">
      <c r="A110" s="22" t="s">
        <v>167</v>
      </c>
      <c r="B110" s="22"/>
      <c r="C110" s="24">
        <v>1</v>
      </c>
      <c r="D110" s="25" t="s">
        <v>12</v>
      </c>
      <c r="E110" s="12">
        <v>102000</v>
      </c>
      <c r="F110" s="22" t="s">
        <v>194</v>
      </c>
      <c r="G110" s="41">
        <f t="shared" si="17"/>
        <v>102000</v>
      </c>
      <c r="H110" s="39" t="s">
        <v>156</v>
      </c>
      <c r="I110" s="40">
        <f t="shared" si="11"/>
        <v>1224000</v>
      </c>
    </row>
    <row r="111" spans="1:10" outlineLevel="1" x14ac:dyDescent="0.2">
      <c r="A111" s="22" t="s">
        <v>168</v>
      </c>
      <c r="B111" s="22"/>
      <c r="C111" s="24">
        <v>0</v>
      </c>
      <c r="D111" s="25" t="s">
        <v>12</v>
      </c>
      <c r="E111" s="12">
        <v>6800</v>
      </c>
      <c r="F111" s="22" t="s">
        <v>195</v>
      </c>
      <c r="G111" s="41">
        <f t="shared" si="17"/>
        <v>0</v>
      </c>
      <c r="H111" s="39" t="s">
        <v>156</v>
      </c>
      <c r="I111" s="40">
        <f t="shared" si="11"/>
        <v>0</v>
      </c>
    </row>
    <row r="112" spans="1:10" outlineLevel="1" x14ac:dyDescent="0.2">
      <c r="A112" s="22" t="s">
        <v>169</v>
      </c>
      <c r="B112" s="22"/>
      <c r="C112" s="24">
        <v>1</v>
      </c>
      <c r="D112" s="25" t="s">
        <v>12</v>
      </c>
      <c r="E112" s="12">
        <v>4250</v>
      </c>
      <c r="F112" s="22" t="s">
        <v>196</v>
      </c>
      <c r="G112" s="41">
        <f t="shared" si="17"/>
        <v>4250</v>
      </c>
      <c r="H112" s="39" t="s">
        <v>156</v>
      </c>
      <c r="I112" s="40">
        <f t="shared" si="11"/>
        <v>51000</v>
      </c>
    </row>
    <row r="113" spans="1:10" outlineLevel="1" x14ac:dyDescent="0.2">
      <c r="A113" s="22" t="s">
        <v>170</v>
      </c>
      <c r="B113" s="22"/>
      <c r="C113" s="24">
        <v>1</v>
      </c>
      <c r="D113" s="25" t="s">
        <v>12</v>
      </c>
      <c r="E113" s="12">
        <v>10200</v>
      </c>
      <c r="F113" s="22" t="s">
        <v>197</v>
      </c>
      <c r="G113" s="41">
        <f t="shared" si="17"/>
        <v>10200</v>
      </c>
      <c r="H113" s="39" t="s">
        <v>156</v>
      </c>
      <c r="I113" s="40">
        <f t="shared" si="11"/>
        <v>122400</v>
      </c>
    </row>
    <row r="114" spans="1:10" outlineLevel="1" x14ac:dyDescent="0.2">
      <c r="A114" s="22" t="s">
        <v>171</v>
      </c>
      <c r="B114" s="22"/>
      <c r="C114" s="24">
        <v>2</v>
      </c>
      <c r="D114" s="25" t="s">
        <v>172</v>
      </c>
      <c r="E114" s="12">
        <v>4250</v>
      </c>
      <c r="F114" s="22" t="s">
        <v>198</v>
      </c>
      <c r="G114" s="41">
        <f t="shared" si="17"/>
        <v>8500</v>
      </c>
      <c r="H114" s="39" t="s">
        <v>156</v>
      </c>
      <c r="I114" s="40">
        <f t="shared" si="11"/>
        <v>102000</v>
      </c>
    </row>
    <row r="115" spans="1:10" outlineLevel="1" x14ac:dyDescent="0.2">
      <c r="A115" s="22" t="s">
        <v>173</v>
      </c>
      <c r="B115" s="22"/>
      <c r="C115" s="24">
        <v>0</v>
      </c>
      <c r="D115" s="25" t="s">
        <v>12</v>
      </c>
      <c r="E115" s="12">
        <v>13500</v>
      </c>
      <c r="F115" s="22" t="s">
        <v>199</v>
      </c>
      <c r="G115" s="41">
        <f t="shared" si="17"/>
        <v>0</v>
      </c>
      <c r="H115" s="39" t="s">
        <v>156</v>
      </c>
      <c r="I115" s="40">
        <f t="shared" si="11"/>
        <v>0</v>
      </c>
    </row>
    <row r="116" spans="1:10" outlineLevel="1" x14ac:dyDescent="0.2">
      <c r="A116" s="22" t="s">
        <v>174</v>
      </c>
      <c r="B116" s="22"/>
      <c r="C116" s="24">
        <v>1</v>
      </c>
      <c r="D116" s="25" t="s">
        <v>12</v>
      </c>
      <c r="E116" s="12">
        <v>1190000</v>
      </c>
      <c r="F116" s="22" t="s">
        <v>200</v>
      </c>
      <c r="G116" s="41">
        <f t="shared" si="17"/>
        <v>1190000</v>
      </c>
      <c r="H116" s="39" t="s">
        <v>156</v>
      </c>
      <c r="I116" s="40">
        <f t="shared" si="11"/>
        <v>14280000</v>
      </c>
      <c r="J116" s="32">
        <f>0.3*I116</f>
        <v>4284000</v>
      </c>
    </row>
    <row r="117" spans="1:10" outlineLevel="1" x14ac:dyDescent="0.2">
      <c r="A117" s="22" t="s">
        <v>175</v>
      </c>
      <c r="B117" s="22"/>
      <c r="C117" s="28">
        <v>14</v>
      </c>
      <c r="D117" s="25" t="s">
        <v>161</v>
      </c>
      <c r="E117" s="12">
        <v>1450</v>
      </c>
      <c r="F117" s="22" t="s">
        <v>201</v>
      </c>
      <c r="G117" s="41">
        <f t="shared" si="17"/>
        <v>20300</v>
      </c>
      <c r="H117" s="39" t="s">
        <v>156</v>
      </c>
      <c r="I117" s="40">
        <f t="shared" si="11"/>
        <v>243600</v>
      </c>
      <c r="J117" s="43">
        <f>+I117</f>
        <v>243600</v>
      </c>
    </row>
    <row r="118" spans="1:10" outlineLevel="1" x14ac:dyDescent="0.2">
      <c r="A118" s="22" t="s">
        <v>176</v>
      </c>
      <c r="B118" s="22"/>
      <c r="C118" s="24">
        <v>1</v>
      </c>
      <c r="D118" s="25" t="s">
        <v>12</v>
      </c>
      <c r="E118" s="12">
        <v>66000</v>
      </c>
      <c r="F118" s="22" t="s">
        <v>202</v>
      </c>
      <c r="G118" s="41">
        <f t="shared" si="17"/>
        <v>66000</v>
      </c>
      <c r="H118" s="39" t="s">
        <v>156</v>
      </c>
      <c r="I118" s="40">
        <f t="shared" si="11"/>
        <v>792000</v>
      </c>
      <c r="J118" s="43">
        <f t="shared" ref="J118:J119" si="18">+I118</f>
        <v>792000</v>
      </c>
    </row>
    <row r="119" spans="1:10" outlineLevel="1" x14ac:dyDescent="0.2">
      <c r="A119" s="22" t="s">
        <v>177</v>
      </c>
      <c r="B119" s="22"/>
      <c r="C119" s="24">
        <v>2</v>
      </c>
      <c r="D119" s="25" t="s">
        <v>12</v>
      </c>
      <c r="E119" s="12">
        <v>1000</v>
      </c>
      <c r="F119" s="22" t="s">
        <v>203</v>
      </c>
      <c r="G119" s="41">
        <f t="shared" si="17"/>
        <v>2000</v>
      </c>
      <c r="H119" s="39" t="s">
        <v>156</v>
      </c>
      <c r="I119" s="40">
        <f t="shared" si="11"/>
        <v>24000</v>
      </c>
      <c r="J119" s="43">
        <f t="shared" si="18"/>
        <v>24000</v>
      </c>
    </row>
    <row r="120" spans="1:10" outlineLevel="1" x14ac:dyDescent="0.2">
      <c r="A120" s="22" t="s">
        <v>178</v>
      </c>
      <c r="B120" s="22"/>
      <c r="C120" s="26">
        <v>6</v>
      </c>
      <c r="D120" s="25" t="s">
        <v>161</v>
      </c>
      <c r="E120" s="12">
        <v>500</v>
      </c>
      <c r="F120" s="22" t="s">
        <v>132</v>
      </c>
      <c r="G120" s="41">
        <f t="shared" si="17"/>
        <v>3000</v>
      </c>
      <c r="H120" s="39" t="s">
        <v>156</v>
      </c>
      <c r="I120" s="40">
        <f t="shared" si="11"/>
        <v>36000</v>
      </c>
      <c r="J120" s="68">
        <f>0.3*I120</f>
        <v>10800</v>
      </c>
    </row>
    <row r="121" spans="1:10" outlineLevel="1" x14ac:dyDescent="0.2">
      <c r="A121" s="22" t="s">
        <v>179</v>
      </c>
      <c r="B121" s="22"/>
      <c r="C121" s="26">
        <v>4</v>
      </c>
      <c r="D121" s="25" t="s">
        <v>161</v>
      </c>
      <c r="E121" s="12">
        <v>4250</v>
      </c>
      <c r="F121" s="22" t="s">
        <v>204</v>
      </c>
      <c r="G121" s="41">
        <f t="shared" si="17"/>
        <v>17000</v>
      </c>
      <c r="H121" s="39" t="s">
        <v>156</v>
      </c>
      <c r="I121" s="40">
        <f t="shared" si="11"/>
        <v>204000</v>
      </c>
      <c r="J121" s="68">
        <f>0.3*I121</f>
        <v>61200</v>
      </c>
    </row>
    <row r="122" spans="1:10" outlineLevel="1" x14ac:dyDescent="0.2">
      <c r="A122" s="22" t="s">
        <v>180</v>
      </c>
      <c r="B122" s="22"/>
      <c r="C122" s="24">
        <v>2</v>
      </c>
      <c r="D122" s="25" t="s">
        <v>12</v>
      </c>
      <c r="E122" s="12">
        <v>507.5</v>
      </c>
      <c r="F122" s="22" t="s">
        <v>205</v>
      </c>
      <c r="G122" s="41">
        <f t="shared" si="17"/>
        <v>1015</v>
      </c>
      <c r="H122" s="39" t="s">
        <v>156</v>
      </c>
      <c r="I122" s="40">
        <f t="shared" si="11"/>
        <v>12180</v>
      </c>
      <c r="J122" s="68">
        <f>0.3*I122</f>
        <v>3654</v>
      </c>
    </row>
    <row r="123" spans="1:10" outlineLevel="1" x14ac:dyDescent="0.2">
      <c r="A123" s="22" t="s">
        <v>181</v>
      </c>
      <c r="B123" s="22"/>
      <c r="C123" s="24">
        <v>4</v>
      </c>
      <c r="D123" s="25" t="s">
        <v>161</v>
      </c>
      <c r="E123" s="12">
        <v>10000</v>
      </c>
      <c r="F123" s="22" t="s">
        <v>206</v>
      </c>
      <c r="G123" s="41">
        <f t="shared" si="17"/>
        <v>40000</v>
      </c>
      <c r="H123" s="50" t="s">
        <v>211</v>
      </c>
      <c r="I123" s="51">
        <f t="shared" si="11"/>
        <v>40000</v>
      </c>
      <c r="J123" s="68">
        <f>0.3*I123</f>
        <v>12000</v>
      </c>
    </row>
    <row r="124" spans="1:10" outlineLevel="1" x14ac:dyDescent="0.2">
      <c r="A124" s="22" t="s">
        <v>182</v>
      </c>
      <c r="B124" s="22"/>
      <c r="C124" s="24">
        <v>80000</v>
      </c>
      <c r="D124" s="25" t="s">
        <v>166</v>
      </c>
      <c r="E124" s="12">
        <v>2.7</v>
      </c>
      <c r="F124" s="22" t="s">
        <v>207</v>
      </c>
      <c r="G124" s="41">
        <f>C124*E124+8000</f>
        <v>224000</v>
      </c>
      <c r="H124" s="39" t="s">
        <v>156</v>
      </c>
      <c r="I124" s="40">
        <f t="shared" si="11"/>
        <v>2688000</v>
      </c>
    </row>
    <row r="125" spans="1:10" x14ac:dyDescent="0.2">
      <c r="E125" s="34"/>
      <c r="G125" s="38">
        <f>SUM(G99:G124)</f>
        <v>2047405</v>
      </c>
      <c r="H125" s="33"/>
      <c r="I125" s="38">
        <f>SUM(I99:I124)</f>
        <v>24128860</v>
      </c>
      <c r="J125" s="69">
        <f>+SUM(J99:J124)/$I$125</f>
        <v>0.22509368449234651</v>
      </c>
    </row>
    <row r="126" spans="1:10" x14ac:dyDescent="0.2">
      <c r="E126" s="34"/>
      <c r="G126" s="43"/>
      <c r="I126" s="34"/>
    </row>
    <row r="127" spans="1:10" x14ac:dyDescent="0.2">
      <c r="E127" s="34"/>
      <c r="G127" s="43"/>
      <c r="I127" s="34"/>
    </row>
    <row r="128" spans="1:10" x14ac:dyDescent="0.2">
      <c r="E128" s="34"/>
      <c r="F128" s="29" t="s">
        <v>209</v>
      </c>
      <c r="G128" s="44">
        <f>G7+G18+G35+G45+G67+G90+G97+G125</f>
        <v>5162130</v>
      </c>
      <c r="I128" s="44">
        <f>I7+I18+I35+I45+I67+I90+I97+I125</f>
        <v>58204460</v>
      </c>
    </row>
    <row r="129" spans="5:9" x14ac:dyDescent="0.2">
      <c r="E129" s="34"/>
      <c r="G129" s="43"/>
      <c r="I129" s="43"/>
    </row>
    <row r="130" spans="5:9" x14ac:dyDescent="0.2">
      <c r="E130" s="34"/>
      <c r="F130" s="30" t="s">
        <v>154</v>
      </c>
      <c r="G130" s="45">
        <f>0.05*G128</f>
        <v>258106.5</v>
      </c>
      <c r="I130" s="45">
        <f>0.05*I128</f>
        <v>2910223</v>
      </c>
    </row>
    <row r="131" spans="5:9" x14ac:dyDescent="0.2">
      <c r="E131" s="34"/>
      <c r="F131" s="30" t="s">
        <v>155</v>
      </c>
      <c r="G131" s="45">
        <f>0.02*G128</f>
        <v>103242.6</v>
      </c>
      <c r="I131" s="45">
        <f>0.02*I128</f>
        <v>1164089.2</v>
      </c>
    </row>
    <row r="132" spans="5:9" x14ac:dyDescent="0.2">
      <c r="E132" s="34"/>
      <c r="F132" s="30" t="s">
        <v>214</v>
      </c>
      <c r="G132" s="45">
        <f>0.02*G128</f>
        <v>103242.6</v>
      </c>
      <c r="H132" s="47"/>
      <c r="I132" s="45">
        <f>0.02*I128</f>
        <v>1164089.2</v>
      </c>
    </row>
    <row r="133" spans="5:9" x14ac:dyDescent="0.2">
      <c r="G133" s="43"/>
      <c r="I133" s="43"/>
    </row>
    <row r="134" spans="5:9" x14ac:dyDescent="0.2">
      <c r="F134" s="31" t="s">
        <v>208</v>
      </c>
      <c r="G134" s="46">
        <f>SUM(G128:G133)</f>
        <v>5626721.6999999993</v>
      </c>
      <c r="I134" s="46">
        <f>SUM(I128:I133)</f>
        <v>63442861.400000006</v>
      </c>
    </row>
    <row r="135" spans="5:9" x14ac:dyDescent="0.2">
      <c r="G135" s="43"/>
    </row>
    <row r="137" spans="5:9" x14ac:dyDescent="0.2">
      <c r="H137" s="48" t="s">
        <v>213</v>
      </c>
      <c r="I137" s="49">
        <f>ROUND(I134*40,-6)</f>
        <v>2538000000</v>
      </c>
    </row>
  </sheetData>
  <pageMargins left="0.7" right="0.7" top="0.75" bottom="0.75" header="0.3" footer="0.3"/>
  <pageSetup scale="57" fitToHeight="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tabSelected="1" zoomScale="73" zoomScaleNormal="73" zoomScalePageLayoutView="73" workbookViewId="0"/>
  </sheetViews>
  <sheetFormatPr baseColWidth="10" defaultColWidth="9.1640625" defaultRowHeight="14" x14ac:dyDescent="0.15"/>
  <cols>
    <col min="1" max="2" width="69.5" style="53" customWidth="1"/>
    <col min="3" max="3" width="79.1640625" style="53" customWidth="1"/>
    <col min="4" max="4" width="69.5" style="53" customWidth="1"/>
    <col min="5" max="5" width="66.5" style="53" customWidth="1"/>
    <col min="6" max="6" width="72.33203125" style="53" customWidth="1"/>
    <col min="7" max="7" width="73.5" style="53" customWidth="1"/>
    <col min="8" max="8" width="52.1640625" style="53" customWidth="1"/>
    <col min="9" max="9" width="51" style="53" customWidth="1"/>
    <col min="10" max="12" width="38.6640625" style="53" customWidth="1"/>
    <col min="13" max="13" width="44.5" style="53" customWidth="1"/>
    <col min="14" max="20" width="47.83203125" style="53" customWidth="1"/>
    <col min="21" max="21" width="66.83203125" style="53" customWidth="1"/>
    <col min="22" max="22" width="69.5" style="53" customWidth="1"/>
    <col min="23" max="23" width="33.1640625" style="53" customWidth="1"/>
    <col min="24" max="24" width="51.5" style="53" customWidth="1"/>
    <col min="25" max="16384" width="9.1640625" style="53"/>
  </cols>
  <sheetData>
    <row r="1" spans="1:7" ht="20" x14ac:dyDescent="0.2">
      <c r="A1" s="120" t="s">
        <v>310</v>
      </c>
    </row>
    <row r="3" spans="1:7" ht="18" x14ac:dyDescent="0.2">
      <c r="A3" s="54" t="s">
        <v>309</v>
      </c>
    </row>
    <row r="6" spans="1:7" ht="18" x14ac:dyDescent="0.2">
      <c r="E6" s="54"/>
    </row>
    <row r="7" spans="1:7" ht="16" x14ac:dyDescent="0.2">
      <c r="B7" s="83" t="s">
        <v>260</v>
      </c>
      <c r="C7" s="83" t="s">
        <v>260</v>
      </c>
      <c r="E7" s="32"/>
      <c r="F7" s="32"/>
      <c r="G7" s="32"/>
    </row>
    <row r="8" spans="1:7" ht="16" x14ac:dyDescent="0.2">
      <c r="E8" s="32"/>
      <c r="F8" s="32"/>
      <c r="G8" s="32"/>
    </row>
    <row r="9" spans="1:7" x14ac:dyDescent="0.15">
      <c r="B9" s="77" t="s">
        <v>258</v>
      </c>
      <c r="C9" s="77" t="s">
        <v>259</v>
      </c>
    </row>
    <row r="10" spans="1:7" ht="16" x14ac:dyDescent="0.2">
      <c r="A10" s="59"/>
      <c r="B10" s="84" t="s">
        <v>256</v>
      </c>
      <c r="C10" s="84" t="s">
        <v>256</v>
      </c>
    </row>
    <row r="11" spans="1:7" ht="16" x14ac:dyDescent="0.2">
      <c r="A11" s="59" t="s">
        <v>222</v>
      </c>
      <c r="B11" s="62">
        <v>3380333950</v>
      </c>
      <c r="C11" s="62">
        <v>3380333950</v>
      </c>
    </row>
    <row r="12" spans="1:7" ht="16" x14ac:dyDescent="0.2">
      <c r="A12" s="59" t="s">
        <v>221</v>
      </c>
      <c r="B12" s="61">
        <v>74400000</v>
      </c>
      <c r="C12" s="61">
        <v>18600000</v>
      </c>
    </row>
    <row r="13" spans="1:7" ht="16" x14ac:dyDescent="0.2">
      <c r="A13" s="59" t="s">
        <v>223</v>
      </c>
      <c r="B13" s="61">
        <v>80000000</v>
      </c>
      <c r="C13" s="61">
        <v>80000000</v>
      </c>
    </row>
    <row r="14" spans="1:7" ht="16" x14ac:dyDescent="0.2">
      <c r="A14" s="59" t="s">
        <v>224</v>
      </c>
      <c r="B14" s="61">
        <v>120000000</v>
      </c>
      <c r="C14" s="61">
        <v>120000000</v>
      </c>
    </row>
    <row r="15" spans="1:7" ht="16" x14ac:dyDescent="0.2">
      <c r="A15" s="59" t="s">
        <v>225</v>
      </c>
      <c r="B15" s="61">
        <v>34285714</v>
      </c>
      <c r="C15" s="61">
        <v>34285714</v>
      </c>
    </row>
    <row r="16" spans="1:7" ht="16" x14ac:dyDescent="0.2">
      <c r="A16" s="59" t="s">
        <v>226</v>
      </c>
      <c r="B16" s="61">
        <v>34285714</v>
      </c>
      <c r="C16" s="61">
        <v>34285714</v>
      </c>
    </row>
    <row r="17" spans="1:3" ht="16" x14ac:dyDescent="0.2">
      <c r="A17" s="59" t="s">
        <v>227</v>
      </c>
      <c r="B17" s="61">
        <v>80000000</v>
      </c>
      <c r="C17" s="61">
        <v>80000000</v>
      </c>
    </row>
    <row r="18" spans="1:3" ht="16" x14ac:dyDescent="0.2">
      <c r="A18" s="59" t="s">
        <v>228</v>
      </c>
      <c r="B18" s="61">
        <v>40000000</v>
      </c>
      <c r="C18" s="61">
        <v>40000000</v>
      </c>
    </row>
    <row r="19" spans="1:3" ht="16" x14ac:dyDescent="0.2">
      <c r="A19" s="59" t="s">
        <v>229</v>
      </c>
      <c r="B19" s="61">
        <v>40000000</v>
      </c>
      <c r="C19" s="61">
        <v>40000000</v>
      </c>
    </row>
    <row r="20" spans="1:3" ht="16" x14ac:dyDescent="0.2">
      <c r="A20" s="59" t="s">
        <v>230</v>
      </c>
      <c r="B20" s="61">
        <v>150000000</v>
      </c>
      <c r="C20" s="61">
        <v>150000000</v>
      </c>
    </row>
    <row r="21" spans="1:3" ht="16" x14ac:dyDescent="0.2">
      <c r="A21" s="59" t="s">
        <v>231</v>
      </c>
      <c r="B21" s="61">
        <v>50000000</v>
      </c>
      <c r="C21" s="61">
        <v>50000000</v>
      </c>
    </row>
    <row r="22" spans="1:3" ht="16" x14ac:dyDescent="0.2">
      <c r="A22" s="79" t="s">
        <v>232</v>
      </c>
      <c r="B22" s="80">
        <f>SUM(B11:B21)</f>
        <v>4083305378</v>
      </c>
      <c r="C22" s="80">
        <f>SUM(C11:C21)</f>
        <v>4027505378</v>
      </c>
    </row>
    <row r="23" spans="1:3" ht="16" x14ac:dyDescent="0.2">
      <c r="A23" s="59"/>
      <c r="B23" s="61"/>
      <c r="C23" s="61"/>
    </row>
    <row r="24" spans="1:3" ht="16" x14ac:dyDescent="0.2">
      <c r="A24" s="59"/>
      <c r="B24" s="85" t="s">
        <v>257</v>
      </c>
      <c r="C24" s="85" t="s">
        <v>257</v>
      </c>
    </row>
    <row r="25" spans="1:3" ht="16" x14ac:dyDescent="0.2">
      <c r="A25" s="59" t="s">
        <v>234</v>
      </c>
      <c r="B25" s="61">
        <v>90000000</v>
      </c>
      <c r="C25" s="61">
        <v>90000000</v>
      </c>
    </row>
    <row r="26" spans="1:3" ht="16" x14ac:dyDescent="0.2">
      <c r="A26" s="59" t="s">
        <v>235</v>
      </c>
      <c r="B26" s="61">
        <v>60000000</v>
      </c>
      <c r="C26" s="61">
        <v>60000000</v>
      </c>
    </row>
    <row r="27" spans="1:3" x14ac:dyDescent="0.15">
      <c r="A27" s="60" t="s">
        <v>236</v>
      </c>
      <c r="B27" s="61">
        <v>150000000</v>
      </c>
      <c r="C27" s="61">
        <v>150000000</v>
      </c>
    </row>
    <row r="28" spans="1:3" x14ac:dyDescent="0.15">
      <c r="A28" s="60" t="s">
        <v>237</v>
      </c>
      <c r="B28" s="61">
        <v>230400000</v>
      </c>
      <c r="C28" s="61">
        <v>230400000</v>
      </c>
    </row>
    <row r="29" spans="1:3" x14ac:dyDescent="0.15">
      <c r="A29" s="60" t="s">
        <v>238</v>
      </c>
      <c r="B29" s="61">
        <v>48000000</v>
      </c>
      <c r="C29" s="61">
        <v>48000000</v>
      </c>
    </row>
    <row r="30" spans="1:3" x14ac:dyDescent="0.15">
      <c r="A30" s="60" t="s">
        <v>239</v>
      </c>
      <c r="B30" s="61">
        <v>22500000</v>
      </c>
      <c r="C30" s="61">
        <v>22500000</v>
      </c>
    </row>
    <row r="31" spans="1:3" x14ac:dyDescent="0.15">
      <c r="A31" s="60" t="s">
        <v>240</v>
      </c>
      <c r="B31" s="61">
        <v>37500000</v>
      </c>
      <c r="C31" s="61">
        <v>37500000</v>
      </c>
    </row>
    <row r="32" spans="1:3" x14ac:dyDescent="0.15">
      <c r="A32" s="60" t="s">
        <v>243</v>
      </c>
      <c r="B32" s="61">
        <v>22860000</v>
      </c>
      <c r="C32" s="61">
        <v>22860000</v>
      </c>
    </row>
    <row r="33" spans="1:22" x14ac:dyDescent="0.15">
      <c r="A33" s="60" t="s">
        <v>244</v>
      </c>
      <c r="B33" s="61">
        <v>83016000</v>
      </c>
      <c r="C33" s="61"/>
    </row>
    <row r="34" spans="1:22" x14ac:dyDescent="0.15">
      <c r="A34" s="60" t="s">
        <v>245</v>
      </c>
      <c r="B34" s="61">
        <v>69180000</v>
      </c>
      <c r="C34" s="61"/>
    </row>
    <row r="35" spans="1:22" x14ac:dyDescent="0.15">
      <c r="A35" s="60" t="s">
        <v>246</v>
      </c>
      <c r="B35" s="61"/>
      <c r="C35" s="61">
        <v>3459000000</v>
      </c>
    </row>
    <row r="36" spans="1:22" x14ac:dyDescent="0.15">
      <c r="A36" s="60" t="s">
        <v>247</v>
      </c>
      <c r="B36" s="61"/>
      <c r="C36" s="61">
        <v>415080000</v>
      </c>
    </row>
    <row r="37" spans="1:22" x14ac:dyDescent="0.15">
      <c r="A37" s="60" t="s">
        <v>241</v>
      </c>
      <c r="B37" s="61">
        <v>25000000</v>
      </c>
      <c r="C37" s="61">
        <v>25000000</v>
      </c>
    </row>
    <row r="38" spans="1:22" ht="16" x14ac:dyDescent="0.2">
      <c r="A38" s="81" t="s">
        <v>242</v>
      </c>
      <c r="B38" s="82">
        <f>SUM(B25:B37)</f>
        <v>838456000</v>
      </c>
      <c r="C38" s="82">
        <f>SUM(C25:C37)</f>
        <v>4560340000</v>
      </c>
    </row>
    <row r="40" spans="1:22" x14ac:dyDescent="0.15">
      <c r="A40" s="73" t="s">
        <v>296</v>
      </c>
      <c r="B40" s="109">
        <f>+U64+E70+E86</f>
        <v>3572.5982899441669</v>
      </c>
    </row>
    <row r="41" spans="1:22" x14ac:dyDescent="0.15">
      <c r="A41" s="73" t="s">
        <v>297</v>
      </c>
      <c r="B41" s="109">
        <f>+V64+F70+F86</f>
        <v>1319.3250303776667</v>
      </c>
    </row>
    <row r="42" spans="1:22" x14ac:dyDescent="0.15">
      <c r="A42" s="73" t="s">
        <v>306</v>
      </c>
      <c r="B42" s="109">
        <f>+E103</f>
        <v>811.28</v>
      </c>
    </row>
    <row r="43" spans="1:22" x14ac:dyDescent="0.15">
      <c r="A43" s="73" t="s">
        <v>307</v>
      </c>
      <c r="B43" s="109">
        <f>+F103</f>
        <v>649.024</v>
      </c>
    </row>
    <row r="46" spans="1:22" ht="16" x14ac:dyDescent="0.2">
      <c r="A46" s="112" t="s">
        <v>215</v>
      </c>
      <c r="B46" s="113">
        <v>12</v>
      </c>
      <c r="C46" s="32"/>
    </row>
    <row r="47" spans="1:22" ht="16" x14ac:dyDescent="0.2">
      <c r="A47" s="112" t="s">
        <v>216</v>
      </c>
      <c r="B47" s="114">
        <v>40</v>
      </c>
      <c r="C47" s="32"/>
      <c r="K47" s="97">
        <v>90000</v>
      </c>
      <c r="L47" s="101"/>
      <c r="M47" s="102">
        <f>0.2/1.2</f>
        <v>0.16666666666666669</v>
      </c>
      <c r="N47" s="103">
        <f>(1-M47)</f>
        <v>0.83333333333333326</v>
      </c>
      <c r="O47" s="104"/>
      <c r="P47" s="104"/>
      <c r="Q47" s="103">
        <v>0.5</v>
      </c>
      <c r="R47" s="103">
        <v>0.1</v>
      </c>
      <c r="S47" s="103">
        <v>0.2</v>
      </c>
      <c r="T47" s="103">
        <v>0.1</v>
      </c>
      <c r="U47" s="103"/>
      <c r="V47" s="103"/>
    </row>
    <row r="48" spans="1:22" ht="16" x14ac:dyDescent="0.2">
      <c r="A48" s="112" t="s">
        <v>217</v>
      </c>
      <c r="B48" s="114">
        <f>B46*B47</f>
        <v>480</v>
      </c>
      <c r="C48" s="32"/>
      <c r="E48" s="64" t="s">
        <v>249</v>
      </c>
      <c r="F48" s="64" t="s">
        <v>250</v>
      </c>
      <c r="G48" s="64" t="s">
        <v>250</v>
      </c>
      <c r="H48" s="64" t="s">
        <v>261</v>
      </c>
      <c r="I48" s="64" t="s">
        <v>263</v>
      </c>
      <c r="J48" s="64" t="s">
        <v>266</v>
      </c>
      <c r="K48" s="64" t="s">
        <v>265</v>
      </c>
      <c r="L48" s="64" t="s">
        <v>270</v>
      </c>
      <c r="M48" s="64" t="s">
        <v>271</v>
      </c>
      <c r="N48" s="64" t="s">
        <v>273</v>
      </c>
      <c r="O48" s="64" t="s">
        <v>272</v>
      </c>
      <c r="P48" s="64" t="s">
        <v>274</v>
      </c>
      <c r="Q48" s="64" t="s">
        <v>278</v>
      </c>
      <c r="R48" s="64" t="s">
        <v>279</v>
      </c>
      <c r="S48" s="64" t="s">
        <v>280</v>
      </c>
      <c r="T48" s="64" t="s">
        <v>281</v>
      </c>
      <c r="U48" s="64" t="s">
        <v>282</v>
      </c>
      <c r="V48" s="64" t="s">
        <v>283</v>
      </c>
    </row>
    <row r="49" spans="1:22" ht="16" x14ac:dyDescent="0.2">
      <c r="A49" s="32"/>
      <c r="B49" s="111" t="s">
        <v>300</v>
      </c>
      <c r="C49" s="32"/>
      <c r="D49" s="64" t="s">
        <v>254</v>
      </c>
      <c r="E49" s="64" t="s">
        <v>248</v>
      </c>
      <c r="F49" s="64" t="s">
        <v>248</v>
      </c>
      <c r="G49" s="64" t="s">
        <v>255</v>
      </c>
      <c r="H49" s="63" t="s">
        <v>262</v>
      </c>
      <c r="I49" s="64" t="s">
        <v>264</v>
      </c>
      <c r="J49" s="64" t="s">
        <v>267</v>
      </c>
      <c r="K49" s="64" t="s">
        <v>268</v>
      </c>
      <c r="L49" s="64" t="s">
        <v>269</v>
      </c>
      <c r="M49" s="64" t="s">
        <v>291</v>
      </c>
      <c r="N49" s="64" t="s">
        <v>291</v>
      </c>
      <c r="O49" s="64"/>
      <c r="P49" s="64"/>
      <c r="Q49" s="64" t="s">
        <v>275</v>
      </c>
      <c r="R49" s="64" t="s">
        <v>276</v>
      </c>
      <c r="S49" s="64" t="s">
        <v>277</v>
      </c>
      <c r="T49" s="64" t="s">
        <v>276</v>
      </c>
      <c r="U49" s="64"/>
      <c r="V49" s="64"/>
    </row>
    <row r="50" spans="1:22" ht="16" x14ac:dyDescent="0.2">
      <c r="A50" s="110" t="s">
        <v>256</v>
      </c>
      <c r="B50" s="87" t="s">
        <v>252</v>
      </c>
      <c r="C50" s="87" t="s">
        <v>253</v>
      </c>
    </row>
    <row r="51" spans="1:22" ht="16" x14ac:dyDescent="0.2">
      <c r="A51" s="32" t="s">
        <v>7</v>
      </c>
      <c r="B51" s="55">
        <f>ROUND('PSAC Data'!I7,3)</f>
        <v>47000</v>
      </c>
      <c r="C51" s="55">
        <f t="shared" ref="C51:C59" si="0">B51*40</f>
        <v>1880000</v>
      </c>
      <c r="D51" s="66">
        <f t="shared" ref="D51:D58" si="1">+B51/12</f>
        <v>3916.6666666666665</v>
      </c>
      <c r="E51" s="67">
        <f t="shared" ref="E51:E58" si="2">+SUM($D$51:$D$62)/+SUM($D$51:$D$58)*D51</f>
        <v>4269.136385762964</v>
      </c>
      <c r="F51" s="65">
        <f t="shared" ref="F51:F58" si="3">+E51*$B$48</f>
        <v>2049185.4651662228</v>
      </c>
      <c r="G51" s="75">
        <f t="shared" ref="G51:G58" si="4">+$B$11/$F$64*F51</f>
        <v>2729588.4485868909</v>
      </c>
      <c r="H51" s="95">
        <f>'PSAC Data'!J7</f>
        <v>0.55319148936170215</v>
      </c>
      <c r="I51" s="96">
        <f>1-H51</f>
        <v>0.44680851063829785</v>
      </c>
      <c r="J51" s="58">
        <f>+G51*H51</f>
        <v>1509985.0992182801</v>
      </c>
      <c r="K51" s="72">
        <f>+J51/$K$47</f>
        <v>16.777612213536447</v>
      </c>
      <c r="L51" s="99">
        <f>+K51/$B$48</f>
        <v>3.4953358778200931E-2</v>
      </c>
      <c r="M51" s="99">
        <f>+L51*$M$47</f>
        <v>5.8255597963668224E-3</v>
      </c>
      <c r="N51" s="99">
        <f>+L51-M51</f>
        <v>2.912779898183411E-2</v>
      </c>
      <c r="O51" s="99">
        <f>+$B$48*M51</f>
        <v>2.7962687022560746</v>
      </c>
      <c r="P51" s="99">
        <f>+$B$48*N51</f>
        <v>13.981343511280373</v>
      </c>
      <c r="Q51" s="99">
        <f>+$Q$47*O51</f>
        <v>1.3981343511280373</v>
      </c>
      <c r="R51" s="99">
        <f>+$R$47*O51</f>
        <v>0.27962687022560745</v>
      </c>
      <c r="S51" s="99">
        <f>+$S$47*P51</f>
        <v>2.796268702256075</v>
      </c>
      <c r="T51" s="99">
        <f>+$T$47*P51</f>
        <v>1.3981343511280375</v>
      </c>
      <c r="U51" s="99">
        <f>+Q51+S51</f>
        <v>4.1944030533841126</v>
      </c>
      <c r="V51" s="99">
        <f>+R51+T51</f>
        <v>1.677761221353645</v>
      </c>
    </row>
    <row r="52" spans="1:22" ht="16" x14ac:dyDescent="0.2">
      <c r="A52" s="32" t="s">
        <v>20</v>
      </c>
      <c r="B52" s="55">
        <f>ROUND('PSAC Data'!I18,-3)</f>
        <v>113000</v>
      </c>
      <c r="C52" s="55">
        <f t="shared" si="0"/>
        <v>4520000</v>
      </c>
      <c r="D52" s="66">
        <f t="shared" si="1"/>
        <v>9416.6666666666661</v>
      </c>
      <c r="E52" s="67">
        <f t="shared" si="2"/>
        <v>10264.093863642871</v>
      </c>
      <c r="F52" s="65">
        <f t="shared" si="3"/>
        <v>4926765.0545485783</v>
      </c>
      <c r="G52" s="75">
        <f t="shared" si="4"/>
        <v>6562627.5466025248</v>
      </c>
      <c r="H52" s="95">
        <f>'PSAC Data'!J18</f>
        <v>0.50353982300884959</v>
      </c>
      <c r="I52" s="96">
        <f t="shared" ref="I52:I58" si="5">1-H52</f>
        <v>0.49646017699115041</v>
      </c>
      <c r="J52" s="58">
        <f t="shared" ref="J52:J58" si="6">+G52*H52</f>
        <v>3304544.3132892363</v>
      </c>
      <c r="K52" s="72">
        <f t="shared" ref="K52:K58" si="7">+J52/$K$47</f>
        <v>36.717159036547066</v>
      </c>
      <c r="L52" s="99">
        <f t="shared" ref="L52:L58" si="8">+K52/$B$48</f>
        <v>7.6494081326139718E-2</v>
      </c>
      <c r="M52" s="99">
        <f t="shared" ref="M52:M58" si="9">+L52*$M$47</f>
        <v>1.2749013554356621E-2</v>
      </c>
      <c r="N52" s="99">
        <f t="shared" ref="N52:N58" si="10">+L52-M52</f>
        <v>6.3745067771783098E-2</v>
      </c>
      <c r="O52" s="99">
        <f t="shared" ref="O52:O58" si="11">+$B$48*M52</f>
        <v>6.1195265060911783</v>
      </c>
      <c r="P52" s="99">
        <f t="shared" ref="P52:P58" si="12">+$B$48*N52</f>
        <v>30.597632530455886</v>
      </c>
      <c r="Q52" s="99">
        <f t="shared" ref="Q52:Q58" si="13">+$Q$47*O52</f>
        <v>3.0597632530455892</v>
      </c>
      <c r="R52" s="99">
        <f t="shared" ref="R52:R58" si="14">+$R$47*O52</f>
        <v>0.61195265060911785</v>
      </c>
      <c r="S52" s="99">
        <f t="shared" ref="S52:S58" si="15">+$S$47*P52</f>
        <v>6.1195265060911774</v>
      </c>
      <c r="T52" s="99">
        <f t="shared" ref="T52:T58" si="16">+$T$47*P52</f>
        <v>3.0597632530455887</v>
      </c>
      <c r="U52" s="99">
        <f t="shared" ref="U52:V58" si="17">+Q52+S52</f>
        <v>9.1792897591367666</v>
      </c>
      <c r="V52" s="99">
        <f t="shared" si="17"/>
        <v>3.6717159036547065</v>
      </c>
    </row>
    <row r="53" spans="1:22" ht="16" x14ac:dyDescent="0.2">
      <c r="A53" s="32" t="s">
        <v>36</v>
      </c>
      <c r="B53" s="55">
        <f>ROUND('PSAC Data'!I35,-3)</f>
        <v>10407000</v>
      </c>
      <c r="C53" s="55">
        <f t="shared" si="0"/>
        <v>416280000</v>
      </c>
      <c r="D53" s="66">
        <f t="shared" si="1"/>
        <v>867250</v>
      </c>
      <c r="E53" s="67">
        <f t="shared" si="2"/>
        <v>945295.79503479088</v>
      </c>
      <c r="F53" s="65">
        <f t="shared" si="3"/>
        <v>453741981.61669964</v>
      </c>
      <c r="G53" s="75">
        <f t="shared" si="4"/>
        <v>604400574.13710165</v>
      </c>
      <c r="H53" s="95">
        <f>'PSAC Data'!J35</f>
        <v>4.2517781403563389E-2</v>
      </c>
      <c r="I53" s="96">
        <f t="shared" si="5"/>
        <v>0.95748221859643656</v>
      </c>
      <c r="J53" s="58">
        <f t="shared" si="6"/>
        <v>25697771.491349496</v>
      </c>
      <c r="K53" s="72">
        <f t="shared" si="7"/>
        <v>285.53079434832773</v>
      </c>
      <c r="L53" s="99">
        <f t="shared" si="8"/>
        <v>0.59485582155901606</v>
      </c>
      <c r="M53" s="99">
        <f t="shared" si="9"/>
        <v>9.9142636926502686E-2</v>
      </c>
      <c r="N53" s="99">
        <f t="shared" si="10"/>
        <v>0.49571318463251335</v>
      </c>
      <c r="O53" s="99">
        <f t="shared" si="11"/>
        <v>47.588465724721289</v>
      </c>
      <c r="P53" s="99">
        <f t="shared" si="12"/>
        <v>237.94232862360641</v>
      </c>
      <c r="Q53" s="99">
        <f t="shared" si="13"/>
        <v>23.794232862360644</v>
      </c>
      <c r="R53" s="99">
        <f t="shared" si="14"/>
        <v>4.7588465724721294</v>
      </c>
      <c r="S53" s="99">
        <f t="shared" si="15"/>
        <v>47.588465724721289</v>
      </c>
      <c r="T53" s="99">
        <f t="shared" si="16"/>
        <v>23.794232862360644</v>
      </c>
      <c r="U53" s="99">
        <f t="shared" si="17"/>
        <v>71.382698587081933</v>
      </c>
      <c r="V53" s="99">
        <f t="shared" si="17"/>
        <v>28.553079434832775</v>
      </c>
    </row>
    <row r="54" spans="1:22" ht="16" x14ac:dyDescent="0.2">
      <c r="A54" s="32" t="s">
        <v>67</v>
      </c>
      <c r="B54" s="55">
        <f>ROUND('PSAC Data'!I45,-3)</f>
        <v>2449000</v>
      </c>
      <c r="C54" s="55">
        <f t="shared" si="0"/>
        <v>97960000</v>
      </c>
      <c r="D54" s="66">
        <f t="shared" si="1"/>
        <v>204083.33333333334</v>
      </c>
      <c r="E54" s="67">
        <f t="shared" si="2"/>
        <v>222449.25550496811</v>
      </c>
      <c r="F54" s="65">
        <f t="shared" si="3"/>
        <v>106775642.64238469</v>
      </c>
      <c r="G54" s="75">
        <f t="shared" si="4"/>
        <v>142228981.07636803</v>
      </c>
      <c r="H54" s="95">
        <f>'PSAC Data'!J45</f>
        <v>0</v>
      </c>
      <c r="I54" s="96">
        <f t="shared" si="5"/>
        <v>1</v>
      </c>
      <c r="J54" s="58">
        <f t="shared" si="6"/>
        <v>0</v>
      </c>
      <c r="K54" s="72">
        <f t="shared" si="7"/>
        <v>0</v>
      </c>
      <c r="L54" s="99">
        <f t="shared" si="8"/>
        <v>0</v>
      </c>
      <c r="M54" s="99">
        <f t="shared" si="9"/>
        <v>0</v>
      </c>
      <c r="N54" s="99">
        <f t="shared" si="10"/>
        <v>0</v>
      </c>
      <c r="O54" s="99">
        <f t="shared" si="11"/>
        <v>0</v>
      </c>
      <c r="P54" s="99">
        <f t="shared" si="12"/>
        <v>0</v>
      </c>
      <c r="Q54" s="99">
        <f t="shared" si="13"/>
        <v>0</v>
      </c>
      <c r="R54" s="99">
        <f t="shared" si="14"/>
        <v>0</v>
      </c>
      <c r="S54" s="99">
        <f t="shared" si="15"/>
        <v>0</v>
      </c>
      <c r="T54" s="99">
        <f t="shared" si="16"/>
        <v>0</v>
      </c>
      <c r="U54" s="99">
        <f t="shared" si="17"/>
        <v>0</v>
      </c>
      <c r="V54" s="99">
        <f t="shared" si="17"/>
        <v>0</v>
      </c>
    </row>
    <row r="55" spans="1:22" ht="16" x14ac:dyDescent="0.2">
      <c r="A55" s="32" t="s">
        <v>84</v>
      </c>
      <c r="B55" s="55">
        <f>ROUND('PSAC Data'!I67,-3)</f>
        <v>11726000</v>
      </c>
      <c r="C55" s="55">
        <f t="shared" si="0"/>
        <v>469040000</v>
      </c>
      <c r="D55" s="66">
        <f t="shared" si="1"/>
        <v>977166.66666666663</v>
      </c>
      <c r="E55" s="67">
        <f t="shared" si="2"/>
        <v>1065104.1119033303</v>
      </c>
      <c r="F55" s="65">
        <f t="shared" si="3"/>
        <v>511249973.71359855</v>
      </c>
      <c r="G55" s="75">
        <f t="shared" si="4"/>
        <v>681003279.74744439</v>
      </c>
      <c r="H55" s="95">
        <f>'PSAC Data'!J67</f>
        <v>0.20708200076755789</v>
      </c>
      <c r="I55" s="96">
        <f t="shared" si="5"/>
        <v>0.79291799923244211</v>
      </c>
      <c r="J55" s="58">
        <f t="shared" si="6"/>
        <v>141023521.69936973</v>
      </c>
      <c r="K55" s="72">
        <f t="shared" si="7"/>
        <v>1566.9280188818859</v>
      </c>
      <c r="L55" s="99">
        <f t="shared" si="8"/>
        <v>3.2644333726705956</v>
      </c>
      <c r="M55" s="99">
        <f t="shared" si="9"/>
        <v>0.54407222877843264</v>
      </c>
      <c r="N55" s="99">
        <f t="shared" si="10"/>
        <v>2.7203611438921631</v>
      </c>
      <c r="O55" s="99">
        <f t="shared" si="11"/>
        <v>261.15466981364767</v>
      </c>
      <c r="P55" s="99">
        <f t="shared" si="12"/>
        <v>1305.7733490682383</v>
      </c>
      <c r="Q55" s="99">
        <f t="shared" si="13"/>
        <v>130.57733490682384</v>
      </c>
      <c r="R55" s="99">
        <f t="shared" si="14"/>
        <v>26.115466981364769</v>
      </c>
      <c r="S55" s="99">
        <f t="shared" si="15"/>
        <v>261.15466981364767</v>
      </c>
      <c r="T55" s="99">
        <f t="shared" si="16"/>
        <v>130.57733490682384</v>
      </c>
      <c r="U55" s="99">
        <f t="shared" si="17"/>
        <v>391.73200472047154</v>
      </c>
      <c r="V55" s="99">
        <f t="shared" si="17"/>
        <v>156.6928018881886</v>
      </c>
    </row>
    <row r="56" spans="1:22" ht="16" x14ac:dyDescent="0.2">
      <c r="A56" s="32" t="s">
        <v>125</v>
      </c>
      <c r="B56" s="55">
        <f>ROUND('PSAC Data'!I90,-3)</f>
        <v>7536000</v>
      </c>
      <c r="C56" s="55">
        <f t="shared" si="0"/>
        <v>301440000</v>
      </c>
      <c r="D56" s="66">
        <f t="shared" si="1"/>
        <v>628000</v>
      </c>
      <c r="E56" s="67">
        <f t="shared" si="2"/>
        <v>684515.14474701486</v>
      </c>
      <c r="F56" s="65">
        <f t="shared" si="3"/>
        <v>328567269.47856712</v>
      </c>
      <c r="G56" s="75">
        <f t="shared" si="4"/>
        <v>437663373.37342149</v>
      </c>
      <c r="H56" s="95">
        <f>'PSAC Data'!J90</f>
        <v>0.22226380241094321</v>
      </c>
      <c r="I56" s="96">
        <f t="shared" si="5"/>
        <v>0.77773619758905677</v>
      </c>
      <c r="J56" s="58">
        <f t="shared" si="6"/>
        <v>97276725.541977018</v>
      </c>
      <c r="K56" s="72">
        <f t="shared" si="7"/>
        <v>1080.852506021967</v>
      </c>
      <c r="L56" s="99">
        <f t="shared" si="8"/>
        <v>2.251776054212431</v>
      </c>
      <c r="M56" s="99">
        <f t="shared" si="9"/>
        <v>0.37529600903540522</v>
      </c>
      <c r="N56" s="99">
        <f t="shared" si="10"/>
        <v>1.8764800451770258</v>
      </c>
      <c r="O56" s="99">
        <f t="shared" si="11"/>
        <v>180.14208433699451</v>
      </c>
      <c r="P56" s="99">
        <f t="shared" si="12"/>
        <v>900.7104216849724</v>
      </c>
      <c r="Q56" s="99">
        <f t="shared" si="13"/>
        <v>90.071042168497257</v>
      </c>
      <c r="R56" s="99">
        <f t="shared" si="14"/>
        <v>18.014208433699451</v>
      </c>
      <c r="S56" s="99">
        <f t="shared" si="15"/>
        <v>180.14208433699449</v>
      </c>
      <c r="T56" s="99">
        <f t="shared" si="16"/>
        <v>90.071042168497243</v>
      </c>
      <c r="U56" s="99">
        <f t="shared" si="17"/>
        <v>270.21312650549174</v>
      </c>
      <c r="V56" s="99">
        <f t="shared" si="17"/>
        <v>108.08525060219669</v>
      </c>
    </row>
    <row r="57" spans="1:22" ht="16" x14ac:dyDescent="0.2">
      <c r="A57" s="32" t="s">
        <v>144</v>
      </c>
      <c r="B57" s="55">
        <f>ROUND('PSAC Data'!I97,-3)</f>
        <v>1798000</v>
      </c>
      <c r="C57" s="55">
        <f t="shared" si="0"/>
        <v>71920000</v>
      </c>
      <c r="D57" s="66">
        <f t="shared" si="1"/>
        <v>149833.33333333334</v>
      </c>
      <c r="E57" s="67">
        <f t="shared" si="2"/>
        <v>163317.1749276981</v>
      </c>
      <c r="F57" s="65">
        <f t="shared" si="3"/>
        <v>78392243.965295091</v>
      </c>
      <c r="G57" s="75">
        <f t="shared" si="4"/>
        <v>104421277.24594109</v>
      </c>
      <c r="H57" s="95">
        <f>'PSAC Data'!J97</f>
        <v>0.90496529631607048</v>
      </c>
      <c r="I57" s="96">
        <f t="shared" si="5"/>
        <v>9.5034703683929522E-2</v>
      </c>
      <c r="J57" s="58">
        <f t="shared" si="6"/>
        <v>94497632.104575619</v>
      </c>
      <c r="K57" s="72">
        <f t="shared" si="7"/>
        <v>1049.9736900508401</v>
      </c>
      <c r="L57" s="99">
        <f t="shared" si="8"/>
        <v>2.1874451876059169</v>
      </c>
      <c r="M57" s="99">
        <f t="shared" si="9"/>
        <v>0.3645741979343195</v>
      </c>
      <c r="N57" s="99">
        <f t="shared" si="10"/>
        <v>1.8228709896715973</v>
      </c>
      <c r="O57" s="99">
        <f t="shared" si="11"/>
        <v>174.99561500847335</v>
      </c>
      <c r="P57" s="99">
        <f t="shared" si="12"/>
        <v>874.97807504236675</v>
      </c>
      <c r="Q57" s="99">
        <f t="shared" si="13"/>
        <v>87.497807504236675</v>
      </c>
      <c r="R57" s="99">
        <f t="shared" si="14"/>
        <v>17.499561500847335</v>
      </c>
      <c r="S57" s="99">
        <f t="shared" si="15"/>
        <v>174.99561500847335</v>
      </c>
      <c r="T57" s="99">
        <f t="shared" si="16"/>
        <v>87.497807504236675</v>
      </c>
      <c r="U57" s="99">
        <f t="shared" si="17"/>
        <v>262.49342251271003</v>
      </c>
      <c r="V57" s="99">
        <f t="shared" si="17"/>
        <v>104.99736900508401</v>
      </c>
    </row>
    <row r="58" spans="1:22" ht="16" x14ac:dyDescent="0.2">
      <c r="A58" s="32" t="s">
        <v>183</v>
      </c>
      <c r="B58" s="56">
        <f>ROUND('PSAC Data'!I125,-3)</f>
        <v>24129000</v>
      </c>
      <c r="C58" s="56">
        <f t="shared" si="0"/>
        <v>965160000</v>
      </c>
      <c r="D58" s="66">
        <f t="shared" si="1"/>
        <v>2010750</v>
      </c>
      <c r="E58" s="67">
        <f t="shared" si="2"/>
        <v>2191701.9542994588</v>
      </c>
      <c r="F58" s="65">
        <f t="shared" si="3"/>
        <v>1052016938.0637403</v>
      </c>
      <c r="G58" s="75">
        <f t="shared" si="4"/>
        <v>1401324248.4245338</v>
      </c>
      <c r="H58" s="95">
        <f>'PSAC Data'!J125</f>
        <v>0.22509368449234651</v>
      </c>
      <c r="I58" s="96">
        <f t="shared" si="5"/>
        <v>0.77490631550765343</v>
      </c>
      <c r="J58" s="58">
        <f t="shared" si="6"/>
        <v>315429238.24634665</v>
      </c>
      <c r="K58" s="72">
        <f t="shared" si="7"/>
        <v>3504.769313848296</v>
      </c>
      <c r="L58" s="99">
        <f t="shared" si="8"/>
        <v>7.3016027371839503</v>
      </c>
      <c r="M58" s="99">
        <f t="shared" si="9"/>
        <v>1.2169337895306584</v>
      </c>
      <c r="N58" s="99">
        <f t="shared" si="10"/>
        <v>6.0846689476532916</v>
      </c>
      <c r="O58" s="99">
        <f t="shared" si="11"/>
        <v>584.12821897471611</v>
      </c>
      <c r="P58" s="99">
        <f t="shared" si="12"/>
        <v>2920.6410948735802</v>
      </c>
      <c r="Q58" s="99">
        <f t="shared" si="13"/>
        <v>292.06410948735805</v>
      </c>
      <c r="R58" s="99">
        <f t="shared" si="14"/>
        <v>58.412821897471616</v>
      </c>
      <c r="S58" s="99">
        <f t="shared" si="15"/>
        <v>584.12821897471611</v>
      </c>
      <c r="T58" s="99">
        <f t="shared" si="16"/>
        <v>292.06410948735805</v>
      </c>
      <c r="U58" s="99">
        <f t="shared" si="17"/>
        <v>876.1923284620741</v>
      </c>
      <c r="V58" s="99">
        <f t="shared" si="17"/>
        <v>350.47693138482964</v>
      </c>
    </row>
    <row r="59" spans="1:22" ht="16" x14ac:dyDescent="0.2">
      <c r="A59" s="88" t="s">
        <v>220</v>
      </c>
      <c r="B59" s="89">
        <f>SUM(B51:B58)</f>
        <v>58205000</v>
      </c>
      <c r="C59" s="89">
        <f t="shared" si="0"/>
        <v>2328200000</v>
      </c>
      <c r="D59" s="92"/>
      <c r="E59" s="63"/>
      <c r="F59" s="63"/>
      <c r="G59" s="76"/>
    </row>
    <row r="60" spans="1:22" ht="16" x14ac:dyDescent="0.2">
      <c r="A60" s="32"/>
      <c r="B60" s="32"/>
      <c r="C60" s="32"/>
      <c r="D60" s="66">
        <f>+B61/12</f>
        <v>242500</v>
      </c>
      <c r="E60" s="63"/>
      <c r="F60" s="63"/>
      <c r="G60" s="76"/>
    </row>
    <row r="61" spans="1:22" ht="16" x14ac:dyDescent="0.2">
      <c r="A61" s="30" t="s">
        <v>154</v>
      </c>
      <c r="B61" s="86">
        <f>ROUND(0.05*B59,-3)</f>
        <v>2910000</v>
      </c>
      <c r="C61" s="86">
        <f>0.05*C59</f>
        <v>116410000</v>
      </c>
      <c r="D61" s="66">
        <f>+B62/12</f>
        <v>97000</v>
      </c>
      <c r="E61" s="63"/>
      <c r="F61" s="63"/>
      <c r="G61" s="76"/>
    </row>
    <row r="62" spans="1:22" ht="16" x14ac:dyDescent="0.2">
      <c r="A62" s="30" t="s">
        <v>155</v>
      </c>
      <c r="B62" s="86">
        <f>ROUND(0.02*B59,-3)</f>
        <v>1164000</v>
      </c>
      <c r="C62" s="86">
        <f>0.02*C59</f>
        <v>46564000</v>
      </c>
      <c r="D62" s="66">
        <f>+B63/12</f>
        <v>97000</v>
      </c>
      <c r="E62" s="63"/>
      <c r="F62" s="63"/>
      <c r="G62" s="76"/>
    </row>
    <row r="63" spans="1:22" ht="16" x14ac:dyDescent="0.2">
      <c r="A63" s="30" t="s">
        <v>218</v>
      </c>
      <c r="B63" s="86">
        <f>ROUND(0.02*B59,-3)</f>
        <v>1164000</v>
      </c>
      <c r="C63" s="86">
        <f>0.02*C59</f>
        <v>46564000</v>
      </c>
      <c r="D63" s="63"/>
      <c r="E63" s="63"/>
      <c r="F63" s="63"/>
      <c r="G63" s="76"/>
    </row>
    <row r="64" spans="1:22" ht="17" thickBot="1" x14ac:dyDescent="0.25">
      <c r="A64" s="90" t="s">
        <v>219</v>
      </c>
      <c r="B64" s="91">
        <f>SUM(B59:B63)</f>
        <v>63443000</v>
      </c>
      <c r="C64" s="91">
        <f>SUM(C59:C63)</f>
        <v>2537738000</v>
      </c>
      <c r="D64" s="93">
        <f>SUM(D51:D63)</f>
        <v>5286916.666666667</v>
      </c>
      <c r="E64" s="94">
        <f>SUM(E51:E63)</f>
        <v>5286916.666666667</v>
      </c>
      <c r="F64" s="94">
        <f>SUM(F51:F63)</f>
        <v>2537720000</v>
      </c>
      <c r="G64" s="94">
        <f>SUM(G51:G63)</f>
        <v>3380333950</v>
      </c>
      <c r="J64" s="94">
        <f t="shared" ref="J64:R64" si="18">SUM(J51:J63)</f>
        <v>678739418.49612606</v>
      </c>
      <c r="K64" s="98">
        <f t="shared" si="18"/>
        <v>7541.5490944014</v>
      </c>
      <c r="L64" s="100">
        <f t="shared" si="18"/>
        <v>15.71156061333625</v>
      </c>
      <c r="M64" s="100">
        <f t="shared" si="18"/>
        <v>2.6185934355560421</v>
      </c>
      <c r="N64" s="100">
        <f t="shared" si="18"/>
        <v>13.092967177780208</v>
      </c>
      <c r="O64" s="100">
        <f t="shared" si="18"/>
        <v>1256.9248490669002</v>
      </c>
      <c r="P64" s="100">
        <f t="shared" si="18"/>
        <v>6284.6242453345003</v>
      </c>
      <c r="Q64" s="100">
        <f t="shared" si="18"/>
        <v>628.46242453345008</v>
      </c>
      <c r="R64" s="100">
        <f t="shared" si="18"/>
        <v>125.69248490669003</v>
      </c>
      <c r="S64" s="100">
        <f t="shared" ref="S64:V64" si="19">SUM(S51:S63)</f>
        <v>1256.9248490669002</v>
      </c>
      <c r="T64" s="100">
        <f t="shared" si="19"/>
        <v>628.46242453345008</v>
      </c>
      <c r="U64" s="100">
        <f t="shared" si="19"/>
        <v>1885.3872736003502</v>
      </c>
      <c r="V64" s="100">
        <f t="shared" si="19"/>
        <v>754.15490944014005</v>
      </c>
    </row>
    <row r="65" spans="1:24" ht="15" thickTop="1" x14ac:dyDescent="0.15"/>
    <row r="67" spans="1:24" x14ac:dyDescent="0.15">
      <c r="A67" s="78" t="s">
        <v>285</v>
      </c>
    </row>
    <row r="68" spans="1:24" x14ac:dyDescent="0.15">
      <c r="B68" s="64" t="s">
        <v>299</v>
      </c>
      <c r="C68" s="64" t="s">
        <v>286</v>
      </c>
      <c r="D68" s="64" t="s">
        <v>288</v>
      </c>
      <c r="E68" s="64" t="s">
        <v>289</v>
      </c>
      <c r="F68" s="64" t="s">
        <v>290</v>
      </c>
    </row>
    <row r="69" spans="1:24" x14ac:dyDescent="0.15">
      <c r="C69" s="64" t="s">
        <v>287</v>
      </c>
      <c r="D69" s="64" t="s">
        <v>287</v>
      </c>
      <c r="E69" s="64" t="s">
        <v>287</v>
      </c>
      <c r="F69" s="64" t="s">
        <v>287</v>
      </c>
    </row>
    <row r="70" spans="1:24" x14ac:dyDescent="0.15">
      <c r="A70" s="53" t="s">
        <v>284</v>
      </c>
      <c r="B70" s="57">
        <f>+B12</f>
        <v>74400000</v>
      </c>
      <c r="C70" s="58">
        <f>+B12/B11*J64</f>
        <v>14938823.643773945</v>
      </c>
      <c r="D70" s="74">
        <f>+B12/B11*K64</f>
        <v>165.98692937526604</v>
      </c>
      <c r="E70" s="74">
        <f>+B12/B11*U64</f>
        <v>41.496732343816518</v>
      </c>
      <c r="F70" s="74">
        <f>+B12/B11*V64</f>
        <v>16.598692937526607</v>
      </c>
    </row>
    <row r="72" spans="1:24" x14ac:dyDescent="0.15">
      <c r="C72" s="105">
        <v>0.3</v>
      </c>
      <c r="D72" s="106">
        <v>75000</v>
      </c>
      <c r="E72" s="105">
        <v>0.75</v>
      </c>
      <c r="F72" s="105">
        <v>0.25</v>
      </c>
    </row>
    <row r="73" spans="1:24" x14ac:dyDescent="0.15">
      <c r="B73" s="64" t="s">
        <v>299</v>
      </c>
      <c r="C73" s="64" t="s">
        <v>301</v>
      </c>
      <c r="D73" s="64" t="s">
        <v>288</v>
      </c>
      <c r="E73" s="64" t="s">
        <v>289</v>
      </c>
      <c r="F73" s="64" t="s">
        <v>290</v>
      </c>
    </row>
    <row r="74" spans="1:24" x14ac:dyDescent="0.15">
      <c r="C74" s="64" t="s">
        <v>292</v>
      </c>
      <c r="D74" s="64" t="s">
        <v>293</v>
      </c>
      <c r="E74" s="64" t="s">
        <v>294</v>
      </c>
      <c r="F74" s="64" t="s">
        <v>295</v>
      </c>
    </row>
    <row r="75" spans="1:24" ht="16" x14ac:dyDescent="0.2">
      <c r="A75" s="59" t="s">
        <v>223</v>
      </c>
      <c r="B75" s="57">
        <f t="shared" ref="B75:B83" si="20">+B13</f>
        <v>80000000</v>
      </c>
      <c r="C75" s="58">
        <f>+$C$72*B75</f>
        <v>24000000</v>
      </c>
      <c r="D75" s="74">
        <f>+C75/$D$72</f>
        <v>320</v>
      </c>
      <c r="E75" s="63">
        <f t="shared" ref="E75:E83" si="21">+$E$72*D75</f>
        <v>240</v>
      </c>
      <c r="F75" s="63">
        <f>+$F$72*D75</f>
        <v>80</v>
      </c>
      <c r="W75" s="59" t="s">
        <v>233</v>
      </c>
      <c r="X75" s="59"/>
    </row>
    <row r="76" spans="1:24" ht="16" x14ac:dyDescent="0.2">
      <c r="A76" s="59" t="s">
        <v>224</v>
      </c>
      <c r="B76" s="57">
        <f t="shared" si="20"/>
        <v>120000000</v>
      </c>
      <c r="C76" s="58">
        <f>+$C$72*B76</f>
        <v>36000000</v>
      </c>
      <c r="D76" s="74">
        <f t="shared" ref="D76:D83" si="22">+C76/$D$72</f>
        <v>480</v>
      </c>
      <c r="E76" s="63">
        <f t="shared" si="21"/>
        <v>360</v>
      </c>
      <c r="F76" s="63">
        <f t="shared" ref="F76:F83" si="23">+$F$72*D76</f>
        <v>120</v>
      </c>
      <c r="W76" s="60"/>
      <c r="X76" s="60"/>
    </row>
    <row r="77" spans="1:24" ht="16" x14ac:dyDescent="0.2">
      <c r="A77" s="59" t="s">
        <v>225</v>
      </c>
      <c r="B77" s="57">
        <f t="shared" si="20"/>
        <v>34285714</v>
      </c>
      <c r="C77" s="58">
        <f>+$C$72*B77</f>
        <v>10285714.199999999</v>
      </c>
      <c r="D77" s="74">
        <f t="shared" si="22"/>
        <v>137.14285599999999</v>
      </c>
      <c r="E77" s="108">
        <f t="shared" si="21"/>
        <v>102.857142</v>
      </c>
      <c r="F77" s="108">
        <f t="shared" si="23"/>
        <v>34.285713999999999</v>
      </c>
      <c r="W77" s="60"/>
      <c r="X77" s="60"/>
    </row>
    <row r="78" spans="1:24" ht="16" x14ac:dyDescent="0.2">
      <c r="A78" s="59" t="s">
        <v>226</v>
      </c>
      <c r="B78" s="57">
        <f t="shared" si="20"/>
        <v>34285714</v>
      </c>
      <c r="C78" s="58">
        <f>+$C$72*B78</f>
        <v>10285714.199999999</v>
      </c>
      <c r="D78" s="74">
        <f t="shared" si="22"/>
        <v>137.14285599999999</v>
      </c>
      <c r="E78" s="108">
        <f t="shared" si="21"/>
        <v>102.857142</v>
      </c>
      <c r="F78" s="108">
        <f t="shared" si="23"/>
        <v>34.285713999999999</v>
      </c>
      <c r="W78" s="60"/>
      <c r="X78" s="60"/>
    </row>
    <row r="79" spans="1:24" ht="16" x14ac:dyDescent="0.2">
      <c r="A79" s="59" t="s">
        <v>227</v>
      </c>
      <c r="B79" s="57">
        <f t="shared" si="20"/>
        <v>80000000</v>
      </c>
      <c r="C79" s="58">
        <f>+$C$72*B79</f>
        <v>24000000</v>
      </c>
      <c r="D79" s="74">
        <f t="shared" si="22"/>
        <v>320</v>
      </c>
      <c r="E79" s="63">
        <f t="shared" si="21"/>
        <v>240</v>
      </c>
      <c r="F79" s="63">
        <f t="shared" si="23"/>
        <v>80</v>
      </c>
      <c r="W79" s="60"/>
      <c r="X79" s="60"/>
    </row>
    <row r="80" spans="1:24" ht="16" x14ac:dyDescent="0.2">
      <c r="A80" s="59" t="s">
        <v>228</v>
      </c>
      <c r="B80" s="57">
        <f t="shared" si="20"/>
        <v>40000000</v>
      </c>
      <c r="C80" s="58">
        <f>0*B80</f>
        <v>0</v>
      </c>
      <c r="D80" s="74">
        <f t="shared" si="22"/>
        <v>0</v>
      </c>
      <c r="E80" s="63">
        <f t="shared" si="21"/>
        <v>0</v>
      </c>
      <c r="F80" s="63">
        <f t="shared" si="23"/>
        <v>0</v>
      </c>
      <c r="W80" s="60"/>
      <c r="X80" s="60"/>
    </row>
    <row r="81" spans="1:24" ht="16" x14ac:dyDescent="0.2">
      <c r="A81" s="59" t="s">
        <v>229</v>
      </c>
      <c r="B81" s="57">
        <f t="shared" si="20"/>
        <v>40000000</v>
      </c>
      <c r="C81" s="58">
        <f>0*B81</f>
        <v>0</v>
      </c>
      <c r="D81" s="74">
        <f t="shared" si="22"/>
        <v>0</v>
      </c>
      <c r="E81" s="63">
        <f t="shared" si="21"/>
        <v>0</v>
      </c>
      <c r="F81" s="63">
        <f t="shared" si="23"/>
        <v>0</v>
      </c>
      <c r="W81" s="60"/>
      <c r="X81" s="60"/>
    </row>
    <row r="82" spans="1:24" ht="16" x14ac:dyDescent="0.2">
      <c r="A82" s="59" t="s">
        <v>251</v>
      </c>
      <c r="B82" s="57">
        <f t="shared" si="20"/>
        <v>150000000</v>
      </c>
      <c r="C82" s="58">
        <f>+$C$72*B82</f>
        <v>45000000</v>
      </c>
      <c r="D82" s="74">
        <f t="shared" si="22"/>
        <v>600</v>
      </c>
      <c r="E82" s="63">
        <f t="shared" si="21"/>
        <v>450</v>
      </c>
      <c r="F82" s="63">
        <f t="shared" si="23"/>
        <v>150</v>
      </c>
      <c r="W82" s="60"/>
      <c r="X82" s="60"/>
    </row>
    <row r="83" spans="1:24" ht="16" x14ac:dyDescent="0.2">
      <c r="A83" s="59" t="s">
        <v>231</v>
      </c>
      <c r="B83" s="57">
        <f t="shared" si="20"/>
        <v>50000000</v>
      </c>
      <c r="C83" s="58">
        <f>+$C$72*B83</f>
        <v>15000000</v>
      </c>
      <c r="D83" s="74">
        <f t="shared" si="22"/>
        <v>200</v>
      </c>
      <c r="E83" s="63">
        <f t="shared" si="21"/>
        <v>150</v>
      </c>
      <c r="F83" s="63">
        <f t="shared" si="23"/>
        <v>50</v>
      </c>
      <c r="W83" s="60"/>
      <c r="X83" s="60"/>
    </row>
    <row r="84" spans="1:24" x14ac:dyDescent="0.15">
      <c r="W84" s="60"/>
      <c r="X84" s="60"/>
    </row>
    <row r="85" spans="1:24" x14ac:dyDescent="0.15">
      <c r="W85" s="60"/>
      <c r="X85" s="60"/>
    </row>
    <row r="86" spans="1:24" x14ac:dyDescent="0.15">
      <c r="D86" s="107">
        <f>SUM(D75:D85)</f>
        <v>2194.2857119999999</v>
      </c>
      <c r="E86" s="107">
        <f>SUM(E75:E85)</f>
        <v>1645.7142839999999</v>
      </c>
      <c r="F86" s="107">
        <f>SUM(F75:F85)</f>
        <v>548.57142799999997</v>
      </c>
      <c r="W86" s="60"/>
      <c r="X86" s="60"/>
    </row>
    <row r="87" spans="1:24" x14ac:dyDescent="0.15">
      <c r="E87" s="117">
        <v>90000</v>
      </c>
      <c r="F87" s="105">
        <v>0.8</v>
      </c>
      <c r="W87" s="60"/>
      <c r="X87" s="60"/>
    </row>
    <row r="88" spans="1:24" ht="16" x14ac:dyDescent="0.2">
      <c r="A88" s="110" t="s">
        <v>257</v>
      </c>
      <c r="B88" s="64" t="s">
        <v>298</v>
      </c>
      <c r="C88" s="64" t="s">
        <v>301</v>
      </c>
      <c r="D88" s="64" t="s">
        <v>302</v>
      </c>
      <c r="E88" s="64" t="s">
        <v>289</v>
      </c>
      <c r="F88" s="64" t="s">
        <v>304</v>
      </c>
      <c r="W88" s="60"/>
      <c r="X88" s="60"/>
    </row>
    <row r="89" spans="1:24" x14ac:dyDescent="0.15">
      <c r="E89" s="64" t="s">
        <v>303</v>
      </c>
      <c r="F89" s="64" t="s">
        <v>305</v>
      </c>
      <c r="W89" s="60"/>
      <c r="X89" s="60"/>
    </row>
    <row r="90" spans="1:24" ht="16" x14ac:dyDescent="0.2">
      <c r="A90" s="59" t="s">
        <v>234</v>
      </c>
      <c r="B90" s="61">
        <f>+B25</f>
        <v>90000000</v>
      </c>
      <c r="C90" s="115">
        <v>0.1</v>
      </c>
      <c r="D90" s="58">
        <f>+C90*B90</f>
        <v>9000000</v>
      </c>
      <c r="E90" s="118">
        <f>+D90/$E$87</f>
        <v>100</v>
      </c>
      <c r="F90" s="118">
        <f>+E90*$F$87</f>
        <v>80</v>
      </c>
      <c r="W90" s="60"/>
      <c r="X90" s="60"/>
    </row>
    <row r="91" spans="1:24" ht="16" x14ac:dyDescent="0.2">
      <c r="A91" s="59" t="s">
        <v>235</v>
      </c>
      <c r="B91" s="61">
        <f t="shared" ref="B91:B102" si="24">+B26</f>
        <v>60000000</v>
      </c>
      <c r="C91" s="115"/>
      <c r="W91" s="60"/>
      <c r="X91" s="60"/>
    </row>
    <row r="92" spans="1:24" x14ac:dyDescent="0.15">
      <c r="A92" s="60" t="s">
        <v>236</v>
      </c>
      <c r="B92" s="61">
        <f t="shared" si="24"/>
        <v>150000000</v>
      </c>
      <c r="C92" s="115">
        <v>0.1</v>
      </c>
      <c r="D92" s="58">
        <f t="shared" ref="D92:D94" si="25">+C92*B92</f>
        <v>15000000</v>
      </c>
      <c r="E92" s="118">
        <f t="shared" ref="E92:E94" si="26">+D92/$E$87</f>
        <v>166.66666666666666</v>
      </c>
      <c r="F92" s="118">
        <f t="shared" ref="F92:F94" si="27">+E92*$F$87</f>
        <v>133.33333333333334</v>
      </c>
    </row>
    <row r="93" spans="1:24" x14ac:dyDescent="0.15">
      <c r="A93" s="60" t="s">
        <v>237</v>
      </c>
      <c r="B93" s="61">
        <f t="shared" si="24"/>
        <v>230400000</v>
      </c>
      <c r="C93" s="115">
        <v>0.1</v>
      </c>
      <c r="D93" s="58">
        <f t="shared" si="25"/>
        <v>23040000</v>
      </c>
      <c r="E93" s="118">
        <f t="shared" si="26"/>
        <v>256</v>
      </c>
      <c r="F93" s="118">
        <f t="shared" si="27"/>
        <v>204.8</v>
      </c>
    </row>
    <row r="94" spans="1:24" x14ac:dyDescent="0.15">
      <c r="A94" s="60" t="s">
        <v>238</v>
      </c>
      <c r="B94" s="61">
        <f t="shared" si="24"/>
        <v>48000000</v>
      </c>
      <c r="C94" s="115">
        <v>0.1</v>
      </c>
      <c r="D94" s="58">
        <f t="shared" si="25"/>
        <v>4800000</v>
      </c>
      <c r="E94" s="118">
        <f t="shared" si="26"/>
        <v>53.333333333333336</v>
      </c>
      <c r="F94" s="118">
        <f t="shared" si="27"/>
        <v>42.666666666666671</v>
      </c>
    </row>
    <row r="95" spans="1:24" x14ac:dyDescent="0.15">
      <c r="A95" s="60" t="s">
        <v>239</v>
      </c>
      <c r="B95" s="61">
        <f t="shared" si="24"/>
        <v>22500000</v>
      </c>
      <c r="C95" s="115"/>
    </row>
    <row r="96" spans="1:24" x14ac:dyDescent="0.15">
      <c r="A96" s="60" t="s">
        <v>240</v>
      </c>
      <c r="B96" s="61">
        <f t="shared" si="24"/>
        <v>37500000</v>
      </c>
      <c r="C96" s="115"/>
    </row>
    <row r="97" spans="1:6" x14ac:dyDescent="0.15">
      <c r="A97" s="60" t="s">
        <v>243</v>
      </c>
      <c r="B97" s="61">
        <f t="shared" si="24"/>
        <v>22860000</v>
      </c>
      <c r="C97" s="115">
        <v>0.2</v>
      </c>
      <c r="D97" s="58">
        <f t="shared" ref="D97:D98" si="28">+C97*B97</f>
        <v>4572000</v>
      </c>
      <c r="E97" s="118">
        <f t="shared" ref="E97:E98" si="29">+D97/$E$87</f>
        <v>50.8</v>
      </c>
      <c r="F97" s="118">
        <f t="shared" ref="F97:F98" si="30">+E97*$F$87</f>
        <v>40.64</v>
      </c>
    </row>
    <row r="98" spans="1:6" x14ac:dyDescent="0.15">
      <c r="A98" s="60" t="s">
        <v>244</v>
      </c>
      <c r="B98" s="61">
        <f t="shared" si="24"/>
        <v>83016000</v>
      </c>
      <c r="C98" s="115">
        <v>0.2</v>
      </c>
      <c r="D98" s="58">
        <f t="shared" si="28"/>
        <v>16603200</v>
      </c>
      <c r="E98" s="118">
        <f t="shared" si="29"/>
        <v>184.48</v>
      </c>
      <c r="F98" s="118">
        <f t="shared" si="30"/>
        <v>147.584</v>
      </c>
    </row>
    <row r="99" spans="1:6" x14ac:dyDescent="0.15">
      <c r="A99" s="60" t="s">
        <v>245</v>
      </c>
      <c r="B99" s="61">
        <f t="shared" si="24"/>
        <v>69180000</v>
      </c>
      <c r="C99" s="115"/>
      <c r="D99" s="58"/>
    </row>
    <row r="100" spans="1:6" x14ac:dyDescent="0.15">
      <c r="A100" s="60" t="s">
        <v>246</v>
      </c>
      <c r="B100" s="61">
        <f t="shared" si="24"/>
        <v>0</v>
      </c>
      <c r="C100" s="115"/>
    </row>
    <row r="101" spans="1:6" x14ac:dyDescent="0.15">
      <c r="A101" s="60" t="s">
        <v>247</v>
      </c>
      <c r="B101" s="61">
        <f t="shared" si="24"/>
        <v>0</v>
      </c>
      <c r="C101" s="115"/>
    </row>
    <row r="102" spans="1:6" x14ac:dyDescent="0.15">
      <c r="A102" s="60" t="s">
        <v>241</v>
      </c>
      <c r="B102" s="61">
        <f t="shared" si="24"/>
        <v>25000000</v>
      </c>
      <c r="C102" s="115"/>
    </row>
    <row r="103" spans="1:6" ht="16" x14ac:dyDescent="0.2">
      <c r="A103" s="81" t="s">
        <v>242</v>
      </c>
      <c r="B103" s="82">
        <f>SUM(B90:B102)</f>
        <v>838456000</v>
      </c>
      <c r="D103" s="116">
        <f>SUM(D90:D102)</f>
        <v>73015200</v>
      </c>
      <c r="E103" s="119">
        <f>SUM(E90:E102)</f>
        <v>811.28</v>
      </c>
      <c r="F103" s="119">
        <f>SUM(F90:F102)</f>
        <v>649.024</v>
      </c>
    </row>
  </sheetData>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100"/>
  <sheetViews>
    <sheetView topLeftCell="A7" zoomScale="73" zoomScaleNormal="73" zoomScalePageLayoutView="73" workbookViewId="0">
      <selection activeCell="F68" sqref="F68"/>
    </sheetView>
  </sheetViews>
  <sheetFormatPr baseColWidth="10" defaultColWidth="9.1640625" defaultRowHeight="14" x14ac:dyDescent="0.15"/>
  <cols>
    <col min="1" max="2" width="69.5" style="53" customWidth="1"/>
    <col min="3" max="3" width="79.1640625" style="53" customWidth="1"/>
    <col min="4" max="4" width="69.5" style="53" customWidth="1"/>
    <col min="5" max="5" width="66.5" style="53" customWidth="1"/>
    <col min="6" max="6" width="72.33203125" style="53" customWidth="1"/>
    <col min="7" max="7" width="73.5" style="53" customWidth="1"/>
    <col min="8" max="8" width="52.1640625" style="53" customWidth="1"/>
    <col min="9" max="9" width="51" style="53" customWidth="1"/>
    <col min="10" max="12" width="38.6640625" style="53" customWidth="1"/>
    <col min="13" max="13" width="44.5" style="53" customWidth="1"/>
    <col min="14" max="20" width="47.83203125" style="53" customWidth="1"/>
    <col min="21" max="21" width="66.83203125" style="53" customWidth="1"/>
    <col min="22" max="22" width="69.5" style="53" customWidth="1"/>
    <col min="23" max="23" width="33.1640625" style="53" customWidth="1"/>
    <col min="24" max="24" width="51.5" style="53" customWidth="1"/>
    <col min="25" max="16384" width="9.1640625" style="53"/>
  </cols>
  <sheetData>
    <row r="3" spans="1:7" ht="18" x14ac:dyDescent="0.2">
      <c r="E3" s="54"/>
    </row>
    <row r="4" spans="1:7" ht="16" x14ac:dyDescent="0.2">
      <c r="B4" s="83" t="s">
        <v>260</v>
      </c>
      <c r="C4" s="83" t="s">
        <v>260</v>
      </c>
      <c r="E4" s="32"/>
      <c r="F4" s="32"/>
      <c r="G4" s="32"/>
    </row>
    <row r="5" spans="1:7" ht="16" x14ac:dyDescent="0.2">
      <c r="E5" s="32"/>
      <c r="F5" s="32"/>
      <c r="G5" s="32"/>
    </row>
    <row r="6" spans="1:7" x14ac:dyDescent="0.15">
      <c r="B6" s="77" t="s">
        <v>258</v>
      </c>
      <c r="C6" s="77" t="s">
        <v>259</v>
      </c>
    </row>
    <row r="7" spans="1:7" ht="16" x14ac:dyDescent="0.2">
      <c r="A7" s="59"/>
      <c r="B7" s="84" t="s">
        <v>256</v>
      </c>
      <c r="C7" s="84" t="s">
        <v>256</v>
      </c>
    </row>
    <row r="8" spans="1:7" ht="16" x14ac:dyDescent="0.2">
      <c r="A8" s="59" t="s">
        <v>222</v>
      </c>
      <c r="B8" s="62">
        <v>3380333950</v>
      </c>
      <c r="C8" s="62">
        <v>3380333950</v>
      </c>
    </row>
    <row r="9" spans="1:7" ht="16" x14ac:dyDescent="0.2">
      <c r="A9" s="59" t="s">
        <v>221</v>
      </c>
      <c r="B9" s="61">
        <v>74400000</v>
      </c>
      <c r="C9" s="61">
        <v>18600000</v>
      </c>
    </row>
    <row r="10" spans="1:7" ht="16" x14ac:dyDescent="0.2">
      <c r="A10" s="59" t="s">
        <v>223</v>
      </c>
      <c r="B10" s="61">
        <v>80000000</v>
      </c>
      <c r="C10" s="61">
        <v>80000000</v>
      </c>
    </row>
    <row r="11" spans="1:7" ht="16" x14ac:dyDescent="0.2">
      <c r="A11" s="59" t="s">
        <v>224</v>
      </c>
      <c r="B11" s="61">
        <v>120000000</v>
      </c>
      <c r="C11" s="61">
        <v>120000000</v>
      </c>
    </row>
    <row r="12" spans="1:7" ht="16" x14ac:dyDescent="0.2">
      <c r="A12" s="59" t="s">
        <v>225</v>
      </c>
      <c r="B12" s="61">
        <v>34285714</v>
      </c>
      <c r="C12" s="61">
        <v>34285714</v>
      </c>
    </row>
    <row r="13" spans="1:7" ht="16" x14ac:dyDescent="0.2">
      <c r="A13" s="59" t="s">
        <v>226</v>
      </c>
      <c r="B13" s="61">
        <v>34285714</v>
      </c>
      <c r="C13" s="61">
        <v>34285714</v>
      </c>
    </row>
    <row r="14" spans="1:7" ht="16" x14ac:dyDescent="0.2">
      <c r="A14" s="59" t="s">
        <v>227</v>
      </c>
      <c r="B14" s="61">
        <v>80000000</v>
      </c>
      <c r="C14" s="61">
        <v>80000000</v>
      </c>
    </row>
    <row r="15" spans="1:7" ht="16" x14ac:dyDescent="0.2">
      <c r="A15" s="59" t="s">
        <v>228</v>
      </c>
      <c r="B15" s="61">
        <v>40000000</v>
      </c>
      <c r="C15" s="61">
        <v>40000000</v>
      </c>
    </row>
    <row r="16" spans="1:7" ht="16" x14ac:dyDescent="0.2">
      <c r="A16" s="59" t="s">
        <v>229</v>
      </c>
      <c r="B16" s="61">
        <v>40000000</v>
      </c>
      <c r="C16" s="61">
        <v>40000000</v>
      </c>
    </row>
    <row r="17" spans="1:3" ht="16" x14ac:dyDescent="0.2">
      <c r="A17" s="59" t="s">
        <v>230</v>
      </c>
      <c r="B17" s="61">
        <v>150000000</v>
      </c>
      <c r="C17" s="61">
        <v>150000000</v>
      </c>
    </row>
    <row r="18" spans="1:3" ht="16" x14ac:dyDescent="0.2">
      <c r="A18" s="59" t="s">
        <v>231</v>
      </c>
      <c r="B18" s="61">
        <v>50000000</v>
      </c>
      <c r="C18" s="61">
        <v>50000000</v>
      </c>
    </row>
    <row r="19" spans="1:3" ht="16" x14ac:dyDescent="0.2">
      <c r="A19" s="79" t="s">
        <v>232</v>
      </c>
      <c r="B19" s="80">
        <f>SUM(B8:B18)</f>
        <v>4083305378</v>
      </c>
      <c r="C19" s="80">
        <f>SUM(C8:C18)</f>
        <v>4027505378</v>
      </c>
    </row>
    <row r="20" spans="1:3" ht="16" x14ac:dyDescent="0.2">
      <c r="A20" s="59"/>
      <c r="B20" s="61"/>
      <c r="C20" s="61"/>
    </row>
    <row r="21" spans="1:3" ht="16" x14ac:dyDescent="0.2">
      <c r="A21" s="59"/>
      <c r="B21" s="85" t="s">
        <v>257</v>
      </c>
      <c r="C21" s="85" t="s">
        <v>257</v>
      </c>
    </row>
    <row r="22" spans="1:3" ht="16" x14ac:dyDescent="0.2">
      <c r="A22" s="59" t="s">
        <v>234</v>
      </c>
      <c r="B22" s="61">
        <v>90000000</v>
      </c>
      <c r="C22" s="61">
        <v>90000000</v>
      </c>
    </row>
    <row r="23" spans="1:3" ht="16" x14ac:dyDescent="0.2">
      <c r="A23" s="59" t="s">
        <v>235</v>
      </c>
      <c r="B23" s="61">
        <v>60000000</v>
      </c>
      <c r="C23" s="61">
        <v>60000000</v>
      </c>
    </row>
    <row r="24" spans="1:3" x14ac:dyDescent="0.15">
      <c r="A24" s="60" t="s">
        <v>236</v>
      </c>
      <c r="B24" s="61">
        <v>150000000</v>
      </c>
      <c r="C24" s="61">
        <v>150000000</v>
      </c>
    </row>
    <row r="25" spans="1:3" x14ac:dyDescent="0.15">
      <c r="A25" s="60" t="s">
        <v>237</v>
      </c>
      <c r="B25" s="61">
        <v>230400000</v>
      </c>
      <c r="C25" s="61">
        <v>230400000</v>
      </c>
    </row>
    <row r="26" spans="1:3" x14ac:dyDescent="0.15">
      <c r="A26" s="60" t="s">
        <v>238</v>
      </c>
      <c r="B26" s="61">
        <v>48000000</v>
      </c>
      <c r="C26" s="61">
        <v>48000000</v>
      </c>
    </row>
    <row r="27" spans="1:3" x14ac:dyDescent="0.15">
      <c r="A27" s="60" t="s">
        <v>239</v>
      </c>
      <c r="B27" s="61">
        <v>22500000</v>
      </c>
      <c r="C27" s="61">
        <v>22500000</v>
      </c>
    </row>
    <row r="28" spans="1:3" x14ac:dyDescent="0.15">
      <c r="A28" s="60" t="s">
        <v>240</v>
      </c>
      <c r="B28" s="61">
        <v>37500000</v>
      </c>
      <c r="C28" s="61">
        <v>37500000</v>
      </c>
    </row>
    <row r="29" spans="1:3" x14ac:dyDescent="0.15">
      <c r="A29" s="60" t="s">
        <v>243</v>
      </c>
      <c r="B29" s="61">
        <v>22860000</v>
      </c>
      <c r="C29" s="61">
        <v>22860000</v>
      </c>
    </row>
    <row r="30" spans="1:3" x14ac:dyDescent="0.15">
      <c r="A30" s="60" t="s">
        <v>244</v>
      </c>
      <c r="B30" s="61">
        <v>83016000</v>
      </c>
      <c r="C30" s="61"/>
    </row>
    <row r="31" spans="1:3" x14ac:dyDescent="0.15">
      <c r="A31" s="60" t="s">
        <v>245</v>
      </c>
      <c r="B31" s="61">
        <v>69180000</v>
      </c>
      <c r="C31" s="61"/>
    </row>
    <row r="32" spans="1:3" x14ac:dyDescent="0.15">
      <c r="A32" s="60" t="s">
        <v>246</v>
      </c>
      <c r="B32" s="61"/>
      <c r="C32" s="61">
        <v>3459000000</v>
      </c>
    </row>
    <row r="33" spans="1:22" x14ac:dyDescent="0.15">
      <c r="A33" s="60" t="s">
        <v>247</v>
      </c>
      <c r="B33" s="61"/>
      <c r="C33" s="61">
        <v>415080000</v>
      </c>
    </row>
    <row r="34" spans="1:22" x14ac:dyDescent="0.15">
      <c r="A34" s="60" t="s">
        <v>241</v>
      </c>
      <c r="B34" s="61">
        <v>25000000</v>
      </c>
      <c r="C34" s="61">
        <v>25000000</v>
      </c>
    </row>
    <row r="35" spans="1:22" ht="16" x14ac:dyDescent="0.2">
      <c r="A35" s="81" t="s">
        <v>242</v>
      </c>
      <c r="B35" s="82">
        <f>SUM(B22:B34)</f>
        <v>838456000</v>
      </c>
      <c r="C35" s="82">
        <f>SUM(C22:C34)</f>
        <v>4560340000</v>
      </c>
    </row>
    <row r="37" spans="1:22" x14ac:dyDescent="0.15">
      <c r="A37" s="73" t="s">
        <v>296</v>
      </c>
      <c r="B37" s="109">
        <f>+U61+E67+E83</f>
        <v>3541.4757406863046</v>
      </c>
    </row>
    <row r="38" spans="1:22" x14ac:dyDescent="0.15">
      <c r="A38" s="73" t="s">
        <v>297</v>
      </c>
      <c r="B38" s="109">
        <f>+V61+F67+F83</f>
        <v>1306.8760106745217</v>
      </c>
    </row>
    <row r="39" spans="1:22" x14ac:dyDescent="0.15">
      <c r="A39" s="73" t="s">
        <v>306</v>
      </c>
      <c r="B39" s="109">
        <f>+E100</f>
        <v>626.79999999999995</v>
      </c>
    </row>
    <row r="40" spans="1:22" x14ac:dyDescent="0.15">
      <c r="A40" s="73" t="s">
        <v>307</v>
      </c>
      <c r="B40" s="109">
        <f>+F100</f>
        <v>501.44</v>
      </c>
    </row>
    <row r="43" spans="1:22" ht="16" x14ac:dyDescent="0.2">
      <c r="A43" s="112" t="s">
        <v>215</v>
      </c>
      <c r="B43" s="113">
        <v>12</v>
      </c>
      <c r="C43" s="32"/>
    </row>
    <row r="44" spans="1:22" ht="16" x14ac:dyDescent="0.2">
      <c r="A44" s="112" t="s">
        <v>216</v>
      </c>
      <c r="B44" s="114">
        <v>40</v>
      </c>
      <c r="C44" s="32"/>
      <c r="K44" s="97">
        <v>90000</v>
      </c>
      <c r="L44" s="101"/>
      <c r="M44" s="102">
        <f>0.2/1.2</f>
        <v>0.16666666666666669</v>
      </c>
      <c r="N44" s="103">
        <f>(1-M44)</f>
        <v>0.83333333333333326</v>
      </c>
      <c r="O44" s="104"/>
      <c r="P44" s="104"/>
      <c r="Q44" s="103">
        <v>0.5</v>
      </c>
      <c r="R44" s="103">
        <v>0.1</v>
      </c>
      <c r="S44" s="103">
        <v>0.2</v>
      </c>
      <c r="T44" s="103">
        <v>0.1</v>
      </c>
      <c r="U44" s="103"/>
      <c r="V44" s="103"/>
    </row>
    <row r="45" spans="1:22" ht="16" x14ac:dyDescent="0.2">
      <c r="A45" s="112" t="s">
        <v>217</v>
      </c>
      <c r="B45" s="114">
        <f>B43*B44</f>
        <v>480</v>
      </c>
      <c r="C45" s="32"/>
      <c r="E45" s="64" t="s">
        <v>249</v>
      </c>
      <c r="F45" s="64" t="s">
        <v>250</v>
      </c>
      <c r="G45" s="64" t="s">
        <v>250</v>
      </c>
      <c r="H45" s="64" t="s">
        <v>261</v>
      </c>
      <c r="I45" s="64" t="s">
        <v>263</v>
      </c>
      <c r="J45" s="64" t="s">
        <v>266</v>
      </c>
      <c r="K45" s="64" t="s">
        <v>265</v>
      </c>
      <c r="L45" s="64" t="s">
        <v>270</v>
      </c>
      <c r="M45" s="64" t="s">
        <v>271</v>
      </c>
      <c r="N45" s="64" t="s">
        <v>273</v>
      </c>
      <c r="O45" s="64" t="s">
        <v>272</v>
      </c>
      <c r="P45" s="64" t="s">
        <v>274</v>
      </c>
      <c r="Q45" s="64" t="s">
        <v>278</v>
      </c>
      <c r="R45" s="64" t="s">
        <v>279</v>
      </c>
      <c r="S45" s="64" t="s">
        <v>280</v>
      </c>
      <c r="T45" s="64" t="s">
        <v>281</v>
      </c>
      <c r="U45" s="64" t="s">
        <v>282</v>
      </c>
      <c r="V45" s="64" t="s">
        <v>283</v>
      </c>
    </row>
    <row r="46" spans="1:22" ht="16" x14ac:dyDescent="0.2">
      <c r="A46" s="32"/>
      <c r="B46" s="111" t="s">
        <v>300</v>
      </c>
      <c r="C46" s="32"/>
      <c r="D46" s="64" t="s">
        <v>254</v>
      </c>
      <c r="E46" s="64" t="s">
        <v>248</v>
      </c>
      <c r="F46" s="64" t="s">
        <v>248</v>
      </c>
      <c r="G46" s="64" t="s">
        <v>255</v>
      </c>
      <c r="H46" s="63" t="s">
        <v>262</v>
      </c>
      <c r="I46" s="64" t="s">
        <v>264</v>
      </c>
      <c r="J46" s="64" t="s">
        <v>267</v>
      </c>
      <c r="K46" s="64" t="s">
        <v>268</v>
      </c>
      <c r="L46" s="64" t="s">
        <v>269</v>
      </c>
      <c r="M46" s="64" t="s">
        <v>291</v>
      </c>
      <c r="N46" s="64" t="s">
        <v>291</v>
      </c>
      <c r="O46" s="64"/>
      <c r="P46" s="64"/>
      <c r="Q46" s="64" t="s">
        <v>275</v>
      </c>
      <c r="R46" s="64" t="s">
        <v>276</v>
      </c>
      <c r="S46" s="64" t="s">
        <v>277</v>
      </c>
      <c r="T46" s="64" t="s">
        <v>276</v>
      </c>
      <c r="U46" s="64"/>
      <c r="V46" s="64"/>
    </row>
    <row r="47" spans="1:22" ht="16" x14ac:dyDescent="0.2">
      <c r="A47" s="110" t="s">
        <v>256</v>
      </c>
      <c r="B47" s="87" t="s">
        <v>252</v>
      </c>
      <c r="C47" s="87" t="s">
        <v>253</v>
      </c>
    </row>
    <row r="48" spans="1:22" ht="16" x14ac:dyDescent="0.2">
      <c r="A48" s="32" t="s">
        <v>7</v>
      </c>
      <c r="B48" s="55">
        <f>ROUND('PSAC Data'!I7,3)</f>
        <v>47000</v>
      </c>
      <c r="C48" s="55">
        <f t="shared" ref="C48:C56" si="0">B48*40</f>
        <v>1880000</v>
      </c>
      <c r="D48" s="66">
        <f t="shared" ref="D48:D55" si="1">+B48/12</f>
        <v>3916.6666666666665</v>
      </c>
      <c r="E48" s="67">
        <f t="shared" ref="E48:E55" si="2">+SUM($D$48:$D$59)/+SUM($D$48:$D$55)*D48</f>
        <v>4269.136385762964</v>
      </c>
      <c r="F48" s="65">
        <f t="shared" ref="F48:F55" si="3">+E48*$B$45</f>
        <v>2049185.4651662228</v>
      </c>
      <c r="G48" s="75">
        <f t="shared" ref="G48:G55" si="4">+$C$8/$F$61*F48</f>
        <v>2729588.4485868909</v>
      </c>
      <c r="H48" s="95">
        <f>'PSAC Data'!J7</f>
        <v>0.55319148936170215</v>
      </c>
      <c r="I48" s="96">
        <f>1-H48</f>
        <v>0.44680851063829785</v>
      </c>
      <c r="J48" s="58">
        <f>+G48*H48</f>
        <v>1509985.0992182801</v>
      </c>
      <c r="K48" s="72">
        <f>+J48/$K$44</f>
        <v>16.777612213536447</v>
      </c>
      <c r="L48" s="99">
        <f>+K48/$B$45</f>
        <v>3.4953358778200931E-2</v>
      </c>
      <c r="M48" s="99">
        <f>+L48*$M$44</f>
        <v>5.8255597963668224E-3</v>
      </c>
      <c r="N48" s="99">
        <f>+L48-M48</f>
        <v>2.912779898183411E-2</v>
      </c>
      <c r="O48" s="99">
        <f>+$B$45*M48</f>
        <v>2.7962687022560746</v>
      </c>
      <c r="P48" s="99">
        <f>+$B$45*N48</f>
        <v>13.981343511280373</v>
      </c>
      <c r="Q48" s="99">
        <f>+$Q$44*O48</f>
        <v>1.3981343511280373</v>
      </c>
      <c r="R48" s="99">
        <f>+$R$44*O48</f>
        <v>0.27962687022560745</v>
      </c>
      <c r="S48" s="99">
        <f>+$S$44*P48</f>
        <v>2.796268702256075</v>
      </c>
      <c r="T48" s="99">
        <f>+$T$44*P48</f>
        <v>1.3981343511280375</v>
      </c>
      <c r="U48" s="99">
        <f>+Q48+S48</f>
        <v>4.1944030533841126</v>
      </c>
      <c r="V48" s="99">
        <f>+R48+T48</f>
        <v>1.677761221353645</v>
      </c>
    </row>
    <row r="49" spans="1:22" ht="16" x14ac:dyDescent="0.2">
      <c r="A49" s="32" t="s">
        <v>20</v>
      </c>
      <c r="B49" s="55">
        <f>ROUND('PSAC Data'!I18,-3)</f>
        <v>113000</v>
      </c>
      <c r="C49" s="55">
        <f t="shared" si="0"/>
        <v>4520000</v>
      </c>
      <c r="D49" s="66">
        <f t="shared" si="1"/>
        <v>9416.6666666666661</v>
      </c>
      <c r="E49" s="67">
        <f t="shared" si="2"/>
        <v>10264.093863642871</v>
      </c>
      <c r="F49" s="65">
        <f t="shared" si="3"/>
        <v>4926765.0545485783</v>
      </c>
      <c r="G49" s="75">
        <f t="shared" si="4"/>
        <v>6562627.5466025248</v>
      </c>
      <c r="H49" s="95">
        <f>'PSAC Data'!J18</f>
        <v>0.50353982300884959</v>
      </c>
      <c r="I49" s="96">
        <f t="shared" ref="I49:I55" si="5">1-H49</f>
        <v>0.49646017699115041</v>
      </c>
      <c r="J49" s="58">
        <f t="shared" ref="J49:J55" si="6">+G49*H49</f>
        <v>3304544.3132892363</v>
      </c>
      <c r="K49" s="72">
        <f t="shared" ref="K49:K55" si="7">+J49/$K$44</f>
        <v>36.717159036547066</v>
      </c>
      <c r="L49" s="99">
        <f t="shared" ref="L49:L55" si="8">+K49/$B$45</f>
        <v>7.6494081326139718E-2</v>
      </c>
      <c r="M49" s="99">
        <f t="shared" ref="M49:M55" si="9">+L49*$M$44</f>
        <v>1.2749013554356621E-2</v>
      </c>
      <c r="N49" s="99">
        <f t="shared" ref="N49:N55" si="10">+L49-M49</f>
        <v>6.3745067771783098E-2</v>
      </c>
      <c r="O49" s="99">
        <f t="shared" ref="O49:P55" si="11">+$B$45*M49</f>
        <v>6.1195265060911783</v>
      </c>
      <c r="P49" s="99">
        <f t="shared" si="11"/>
        <v>30.597632530455886</v>
      </c>
      <c r="Q49" s="99">
        <f t="shared" ref="Q49:Q55" si="12">+$Q$44*O49</f>
        <v>3.0597632530455892</v>
      </c>
      <c r="R49" s="99">
        <f t="shared" ref="R49:R55" si="13">+$R$44*O49</f>
        <v>0.61195265060911785</v>
      </c>
      <c r="S49" s="99">
        <f t="shared" ref="S49:S55" si="14">+$S$44*P49</f>
        <v>6.1195265060911774</v>
      </c>
      <c r="T49" s="99">
        <f t="shared" ref="T49:T55" si="15">+$T$44*P49</f>
        <v>3.0597632530455887</v>
      </c>
      <c r="U49" s="99">
        <f t="shared" ref="U49:V55" si="16">+Q49+S49</f>
        <v>9.1792897591367666</v>
      </c>
      <c r="V49" s="99">
        <f t="shared" si="16"/>
        <v>3.6717159036547065</v>
      </c>
    </row>
    <row r="50" spans="1:22" ht="16" x14ac:dyDescent="0.2">
      <c r="A50" s="32" t="s">
        <v>36</v>
      </c>
      <c r="B50" s="55">
        <f>ROUND('PSAC Data'!I35,-3)</f>
        <v>10407000</v>
      </c>
      <c r="C50" s="55">
        <f t="shared" si="0"/>
        <v>416280000</v>
      </c>
      <c r="D50" s="66">
        <f t="shared" si="1"/>
        <v>867250</v>
      </c>
      <c r="E50" s="67">
        <f t="shared" si="2"/>
        <v>945295.79503479088</v>
      </c>
      <c r="F50" s="65">
        <f t="shared" si="3"/>
        <v>453741981.61669964</v>
      </c>
      <c r="G50" s="75">
        <f t="shared" si="4"/>
        <v>604400574.13710165</v>
      </c>
      <c r="H50" s="95">
        <f>'PSAC Data'!J35</f>
        <v>4.2517781403563389E-2</v>
      </c>
      <c r="I50" s="96">
        <f t="shared" si="5"/>
        <v>0.95748221859643656</v>
      </c>
      <c r="J50" s="58">
        <f t="shared" si="6"/>
        <v>25697771.491349496</v>
      </c>
      <c r="K50" s="72">
        <f t="shared" si="7"/>
        <v>285.53079434832773</v>
      </c>
      <c r="L50" s="99">
        <f t="shared" si="8"/>
        <v>0.59485582155901606</v>
      </c>
      <c r="M50" s="99">
        <f t="shared" si="9"/>
        <v>9.9142636926502686E-2</v>
      </c>
      <c r="N50" s="99">
        <f t="shared" si="10"/>
        <v>0.49571318463251335</v>
      </c>
      <c r="O50" s="99">
        <f t="shared" si="11"/>
        <v>47.588465724721289</v>
      </c>
      <c r="P50" s="99">
        <f t="shared" si="11"/>
        <v>237.94232862360641</v>
      </c>
      <c r="Q50" s="99">
        <f t="shared" si="12"/>
        <v>23.794232862360644</v>
      </c>
      <c r="R50" s="99">
        <f t="shared" si="13"/>
        <v>4.7588465724721294</v>
      </c>
      <c r="S50" s="99">
        <f t="shared" si="14"/>
        <v>47.588465724721289</v>
      </c>
      <c r="T50" s="99">
        <f t="shared" si="15"/>
        <v>23.794232862360644</v>
      </c>
      <c r="U50" s="99">
        <f t="shared" si="16"/>
        <v>71.382698587081933</v>
      </c>
      <c r="V50" s="99">
        <f t="shared" si="16"/>
        <v>28.553079434832775</v>
      </c>
    </row>
    <row r="51" spans="1:22" ht="16" x14ac:dyDescent="0.2">
      <c r="A51" s="32" t="s">
        <v>67</v>
      </c>
      <c r="B51" s="55">
        <f>ROUND('PSAC Data'!I45,-3)</f>
        <v>2449000</v>
      </c>
      <c r="C51" s="55">
        <f t="shared" si="0"/>
        <v>97960000</v>
      </c>
      <c r="D51" s="66">
        <f t="shared" si="1"/>
        <v>204083.33333333334</v>
      </c>
      <c r="E51" s="67">
        <f t="shared" si="2"/>
        <v>222449.25550496811</v>
      </c>
      <c r="F51" s="65">
        <f t="shared" si="3"/>
        <v>106775642.64238469</v>
      </c>
      <c r="G51" s="75">
        <f t="shared" si="4"/>
        <v>142228981.07636803</v>
      </c>
      <c r="H51" s="95">
        <f>'PSAC Data'!J45</f>
        <v>0</v>
      </c>
      <c r="I51" s="96">
        <f t="shared" si="5"/>
        <v>1</v>
      </c>
      <c r="J51" s="58">
        <f t="shared" si="6"/>
        <v>0</v>
      </c>
      <c r="K51" s="72">
        <f t="shared" si="7"/>
        <v>0</v>
      </c>
      <c r="L51" s="99">
        <f t="shared" si="8"/>
        <v>0</v>
      </c>
      <c r="M51" s="99">
        <f t="shared" si="9"/>
        <v>0</v>
      </c>
      <c r="N51" s="99">
        <f t="shared" si="10"/>
        <v>0</v>
      </c>
      <c r="O51" s="99">
        <f t="shared" si="11"/>
        <v>0</v>
      </c>
      <c r="P51" s="99">
        <f t="shared" si="11"/>
        <v>0</v>
      </c>
      <c r="Q51" s="99">
        <f t="shared" si="12"/>
        <v>0</v>
      </c>
      <c r="R51" s="99">
        <f t="shared" si="13"/>
        <v>0</v>
      </c>
      <c r="S51" s="99">
        <f t="shared" si="14"/>
        <v>0</v>
      </c>
      <c r="T51" s="99">
        <f t="shared" si="15"/>
        <v>0</v>
      </c>
      <c r="U51" s="99">
        <f t="shared" si="16"/>
        <v>0</v>
      </c>
      <c r="V51" s="99">
        <f t="shared" si="16"/>
        <v>0</v>
      </c>
    </row>
    <row r="52" spans="1:22" ht="16" x14ac:dyDescent="0.2">
      <c r="A52" s="32" t="s">
        <v>84</v>
      </c>
      <c r="B52" s="55">
        <f>ROUND('PSAC Data'!I67,-3)</f>
        <v>11726000</v>
      </c>
      <c r="C52" s="55">
        <f t="shared" si="0"/>
        <v>469040000</v>
      </c>
      <c r="D52" s="66">
        <f t="shared" si="1"/>
        <v>977166.66666666663</v>
      </c>
      <c r="E52" s="67">
        <f t="shared" si="2"/>
        <v>1065104.1119033303</v>
      </c>
      <c r="F52" s="65">
        <f t="shared" si="3"/>
        <v>511249973.71359855</v>
      </c>
      <c r="G52" s="75">
        <f t="shared" si="4"/>
        <v>681003279.74744439</v>
      </c>
      <c r="H52" s="95">
        <f>'PSAC Data'!J67</f>
        <v>0.20708200076755789</v>
      </c>
      <c r="I52" s="96">
        <f t="shared" si="5"/>
        <v>0.79291799923244211</v>
      </c>
      <c r="J52" s="58">
        <f t="shared" si="6"/>
        <v>141023521.69936973</v>
      </c>
      <c r="K52" s="72">
        <f t="shared" si="7"/>
        <v>1566.9280188818859</v>
      </c>
      <c r="L52" s="99">
        <f t="shared" si="8"/>
        <v>3.2644333726705956</v>
      </c>
      <c r="M52" s="99">
        <f t="shared" si="9"/>
        <v>0.54407222877843264</v>
      </c>
      <c r="N52" s="99">
        <f t="shared" si="10"/>
        <v>2.7203611438921631</v>
      </c>
      <c r="O52" s="99">
        <f t="shared" si="11"/>
        <v>261.15466981364767</v>
      </c>
      <c r="P52" s="99">
        <f t="shared" si="11"/>
        <v>1305.7733490682383</v>
      </c>
      <c r="Q52" s="99">
        <f t="shared" si="12"/>
        <v>130.57733490682384</v>
      </c>
      <c r="R52" s="99">
        <f t="shared" si="13"/>
        <v>26.115466981364769</v>
      </c>
      <c r="S52" s="99">
        <f t="shared" si="14"/>
        <v>261.15466981364767</v>
      </c>
      <c r="T52" s="99">
        <f t="shared" si="15"/>
        <v>130.57733490682384</v>
      </c>
      <c r="U52" s="99">
        <f t="shared" si="16"/>
        <v>391.73200472047154</v>
      </c>
      <c r="V52" s="99">
        <f t="shared" si="16"/>
        <v>156.6928018881886</v>
      </c>
    </row>
    <row r="53" spans="1:22" ht="16" x14ac:dyDescent="0.2">
      <c r="A53" s="32" t="s">
        <v>125</v>
      </c>
      <c r="B53" s="55">
        <f>ROUND('PSAC Data'!I90,-3)</f>
        <v>7536000</v>
      </c>
      <c r="C53" s="55">
        <f t="shared" si="0"/>
        <v>301440000</v>
      </c>
      <c r="D53" s="66">
        <f t="shared" si="1"/>
        <v>628000</v>
      </c>
      <c r="E53" s="67">
        <f t="shared" si="2"/>
        <v>684515.14474701486</v>
      </c>
      <c r="F53" s="65">
        <f t="shared" si="3"/>
        <v>328567269.47856712</v>
      </c>
      <c r="G53" s="75">
        <f t="shared" si="4"/>
        <v>437663373.37342149</v>
      </c>
      <c r="H53" s="95">
        <f>'PSAC Data'!J90</f>
        <v>0.22226380241094321</v>
      </c>
      <c r="I53" s="96">
        <f t="shared" si="5"/>
        <v>0.77773619758905677</v>
      </c>
      <c r="J53" s="58">
        <f t="shared" si="6"/>
        <v>97276725.541977018</v>
      </c>
      <c r="K53" s="72">
        <f t="shared" si="7"/>
        <v>1080.852506021967</v>
      </c>
      <c r="L53" s="99">
        <f t="shared" si="8"/>
        <v>2.251776054212431</v>
      </c>
      <c r="M53" s="99">
        <f t="shared" si="9"/>
        <v>0.37529600903540522</v>
      </c>
      <c r="N53" s="99">
        <f t="shared" si="10"/>
        <v>1.8764800451770258</v>
      </c>
      <c r="O53" s="99">
        <f t="shared" si="11"/>
        <v>180.14208433699451</v>
      </c>
      <c r="P53" s="99">
        <f t="shared" si="11"/>
        <v>900.7104216849724</v>
      </c>
      <c r="Q53" s="99">
        <f t="shared" si="12"/>
        <v>90.071042168497257</v>
      </c>
      <c r="R53" s="99">
        <f t="shared" si="13"/>
        <v>18.014208433699451</v>
      </c>
      <c r="S53" s="99">
        <f t="shared" si="14"/>
        <v>180.14208433699449</v>
      </c>
      <c r="T53" s="99">
        <f t="shared" si="15"/>
        <v>90.071042168497243</v>
      </c>
      <c r="U53" s="99">
        <f t="shared" si="16"/>
        <v>270.21312650549174</v>
      </c>
      <c r="V53" s="99">
        <f t="shared" si="16"/>
        <v>108.08525060219669</v>
      </c>
    </row>
    <row r="54" spans="1:22" ht="16" x14ac:dyDescent="0.2">
      <c r="A54" s="32" t="s">
        <v>144</v>
      </c>
      <c r="B54" s="55">
        <f>ROUND('PSAC Data'!I97,-3)</f>
        <v>1798000</v>
      </c>
      <c r="C54" s="55">
        <f t="shared" si="0"/>
        <v>71920000</v>
      </c>
      <c r="D54" s="66">
        <f t="shared" si="1"/>
        <v>149833.33333333334</v>
      </c>
      <c r="E54" s="67">
        <f t="shared" si="2"/>
        <v>163317.1749276981</v>
      </c>
      <c r="F54" s="65">
        <f t="shared" si="3"/>
        <v>78392243.965295091</v>
      </c>
      <c r="G54" s="75">
        <f t="shared" si="4"/>
        <v>104421277.24594109</v>
      </c>
      <c r="H54" s="95">
        <f>'PSAC Data'!J97</f>
        <v>0.90496529631607048</v>
      </c>
      <c r="I54" s="96">
        <f t="shared" si="5"/>
        <v>9.5034703683929522E-2</v>
      </c>
      <c r="J54" s="58">
        <f t="shared" si="6"/>
        <v>94497632.104575619</v>
      </c>
      <c r="K54" s="72">
        <f t="shared" si="7"/>
        <v>1049.9736900508401</v>
      </c>
      <c r="L54" s="99">
        <f t="shared" si="8"/>
        <v>2.1874451876059169</v>
      </c>
      <c r="M54" s="99">
        <f t="shared" si="9"/>
        <v>0.3645741979343195</v>
      </c>
      <c r="N54" s="99">
        <f t="shared" si="10"/>
        <v>1.8228709896715973</v>
      </c>
      <c r="O54" s="99">
        <f t="shared" si="11"/>
        <v>174.99561500847335</v>
      </c>
      <c r="P54" s="99">
        <f t="shared" si="11"/>
        <v>874.97807504236675</v>
      </c>
      <c r="Q54" s="99">
        <f t="shared" si="12"/>
        <v>87.497807504236675</v>
      </c>
      <c r="R54" s="99">
        <f t="shared" si="13"/>
        <v>17.499561500847335</v>
      </c>
      <c r="S54" s="99">
        <f t="shared" si="14"/>
        <v>174.99561500847335</v>
      </c>
      <c r="T54" s="99">
        <f t="shared" si="15"/>
        <v>87.497807504236675</v>
      </c>
      <c r="U54" s="99">
        <f t="shared" si="16"/>
        <v>262.49342251271003</v>
      </c>
      <c r="V54" s="99">
        <f t="shared" si="16"/>
        <v>104.99736900508401</v>
      </c>
    </row>
    <row r="55" spans="1:22" ht="16" x14ac:dyDescent="0.2">
      <c r="A55" s="32" t="s">
        <v>183</v>
      </c>
      <c r="B55" s="56">
        <f>ROUND('PSAC Data'!I125,-3)</f>
        <v>24129000</v>
      </c>
      <c r="C55" s="56">
        <f t="shared" si="0"/>
        <v>965160000</v>
      </c>
      <c r="D55" s="66">
        <f t="shared" si="1"/>
        <v>2010750</v>
      </c>
      <c r="E55" s="67">
        <f t="shared" si="2"/>
        <v>2191701.9542994588</v>
      </c>
      <c r="F55" s="65">
        <f t="shared" si="3"/>
        <v>1052016938.0637403</v>
      </c>
      <c r="G55" s="75">
        <f t="shared" si="4"/>
        <v>1401324248.4245338</v>
      </c>
      <c r="H55" s="95">
        <f>'PSAC Data'!J125</f>
        <v>0.22509368449234651</v>
      </c>
      <c r="I55" s="96">
        <f t="shared" si="5"/>
        <v>0.77490631550765343</v>
      </c>
      <c r="J55" s="58">
        <f t="shared" si="6"/>
        <v>315429238.24634665</v>
      </c>
      <c r="K55" s="72">
        <f t="shared" si="7"/>
        <v>3504.769313848296</v>
      </c>
      <c r="L55" s="99">
        <f t="shared" si="8"/>
        <v>7.3016027371839503</v>
      </c>
      <c r="M55" s="99">
        <f t="shared" si="9"/>
        <v>1.2169337895306584</v>
      </c>
      <c r="N55" s="99">
        <f t="shared" si="10"/>
        <v>6.0846689476532916</v>
      </c>
      <c r="O55" s="99">
        <f t="shared" si="11"/>
        <v>584.12821897471611</v>
      </c>
      <c r="P55" s="99">
        <f t="shared" si="11"/>
        <v>2920.6410948735802</v>
      </c>
      <c r="Q55" s="99">
        <f t="shared" si="12"/>
        <v>292.06410948735805</v>
      </c>
      <c r="R55" s="99">
        <f t="shared" si="13"/>
        <v>58.412821897471616</v>
      </c>
      <c r="S55" s="99">
        <f t="shared" si="14"/>
        <v>584.12821897471611</v>
      </c>
      <c r="T55" s="99">
        <f t="shared" si="15"/>
        <v>292.06410948735805</v>
      </c>
      <c r="U55" s="99">
        <f t="shared" si="16"/>
        <v>876.1923284620741</v>
      </c>
      <c r="V55" s="99">
        <f t="shared" si="16"/>
        <v>350.47693138482964</v>
      </c>
    </row>
    <row r="56" spans="1:22" ht="16" x14ac:dyDescent="0.2">
      <c r="A56" s="88" t="s">
        <v>220</v>
      </c>
      <c r="B56" s="89">
        <f>SUM(B48:B55)</f>
        <v>58205000</v>
      </c>
      <c r="C56" s="89">
        <f t="shared" si="0"/>
        <v>2328200000</v>
      </c>
      <c r="D56" s="92"/>
      <c r="E56" s="63"/>
      <c r="F56" s="63"/>
      <c r="G56" s="76"/>
    </row>
    <row r="57" spans="1:22" ht="16" x14ac:dyDescent="0.2">
      <c r="A57" s="32"/>
      <c r="B57" s="32"/>
      <c r="C57" s="32"/>
      <c r="D57" s="66">
        <f>+B58/12</f>
        <v>242500</v>
      </c>
      <c r="E57" s="63"/>
      <c r="F57" s="63"/>
      <c r="G57" s="76"/>
    </row>
    <row r="58" spans="1:22" ht="16" x14ac:dyDescent="0.2">
      <c r="A58" s="30" t="s">
        <v>154</v>
      </c>
      <c r="B58" s="86">
        <f>ROUND(0.05*B56,-3)</f>
        <v>2910000</v>
      </c>
      <c r="C58" s="86">
        <f>0.05*C56</f>
        <v>116410000</v>
      </c>
      <c r="D58" s="66">
        <f>+B59/12</f>
        <v>97000</v>
      </c>
      <c r="E58" s="63"/>
      <c r="F58" s="63"/>
      <c r="G58" s="76"/>
    </row>
    <row r="59" spans="1:22" ht="16" x14ac:dyDescent="0.2">
      <c r="A59" s="30" t="s">
        <v>155</v>
      </c>
      <c r="B59" s="86">
        <f>ROUND(0.02*B56,-3)</f>
        <v>1164000</v>
      </c>
      <c r="C59" s="86">
        <f>0.02*C56</f>
        <v>46564000</v>
      </c>
      <c r="D59" s="66">
        <f>+B60/12</f>
        <v>97000</v>
      </c>
      <c r="E59" s="63"/>
      <c r="F59" s="63"/>
      <c r="G59" s="76"/>
    </row>
    <row r="60" spans="1:22" ht="16" x14ac:dyDescent="0.2">
      <c r="A60" s="30" t="s">
        <v>218</v>
      </c>
      <c r="B60" s="86">
        <f>ROUND(0.02*B56,-3)</f>
        <v>1164000</v>
      </c>
      <c r="C60" s="86">
        <f>0.02*C56</f>
        <v>46564000</v>
      </c>
      <c r="D60" s="63"/>
      <c r="E60" s="63"/>
      <c r="F60" s="63"/>
      <c r="G60" s="76"/>
    </row>
    <row r="61" spans="1:22" ht="17" thickBot="1" x14ac:dyDescent="0.25">
      <c r="A61" s="90" t="s">
        <v>219</v>
      </c>
      <c r="B61" s="91">
        <f>SUM(B56:B60)</f>
        <v>63443000</v>
      </c>
      <c r="C61" s="91">
        <f>SUM(C56:C60)</f>
        <v>2537738000</v>
      </c>
      <c r="D61" s="93">
        <f>SUM(D48:D60)</f>
        <v>5286916.666666667</v>
      </c>
      <c r="E61" s="94">
        <f>SUM(E48:E60)</f>
        <v>5286916.666666667</v>
      </c>
      <c r="F61" s="94">
        <f>SUM(F48:F60)</f>
        <v>2537720000</v>
      </c>
      <c r="G61" s="94">
        <f>SUM(G48:G60)</f>
        <v>3380333950</v>
      </c>
      <c r="J61" s="94">
        <f t="shared" ref="J61:R61" si="17">SUM(J48:J60)</f>
        <v>678739418.49612606</v>
      </c>
      <c r="K61" s="98">
        <f t="shared" si="17"/>
        <v>7541.5490944014</v>
      </c>
      <c r="L61" s="100">
        <f t="shared" si="17"/>
        <v>15.71156061333625</v>
      </c>
      <c r="M61" s="100">
        <f t="shared" si="17"/>
        <v>2.6185934355560421</v>
      </c>
      <c r="N61" s="100">
        <f t="shared" si="17"/>
        <v>13.092967177780208</v>
      </c>
      <c r="O61" s="100">
        <f t="shared" si="17"/>
        <v>1256.9248490669002</v>
      </c>
      <c r="P61" s="100">
        <f t="shared" si="17"/>
        <v>6284.6242453345003</v>
      </c>
      <c r="Q61" s="100">
        <f t="shared" si="17"/>
        <v>628.46242453345008</v>
      </c>
      <c r="R61" s="100">
        <f t="shared" si="17"/>
        <v>125.69248490669003</v>
      </c>
      <c r="S61" s="100">
        <f t="shared" ref="S61:V61" si="18">SUM(S48:S60)</f>
        <v>1256.9248490669002</v>
      </c>
      <c r="T61" s="100">
        <f t="shared" si="18"/>
        <v>628.46242453345008</v>
      </c>
      <c r="U61" s="100">
        <f t="shared" si="18"/>
        <v>1885.3872736003502</v>
      </c>
      <c r="V61" s="100">
        <f t="shared" si="18"/>
        <v>754.15490944014005</v>
      </c>
    </row>
    <row r="62" spans="1:22" ht="15" thickTop="1" x14ac:dyDescent="0.15"/>
    <row r="64" spans="1:22" x14ac:dyDescent="0.15">
      <c r="A64" s="78" t="s">
        <v>285</v>
      </c>
    </row>
    <row r="65" spans="1:24" x14ac:dyDescent="0.15">
      <c r="B65" s="64" t="s">
        <v>299</v>
      </c>
      <c r="C65" s="64" t="s">
        <v>286</v>
      </c>
      <c r="D65" s="64" t="s">
        <v>288</v>
      </c>
      <c r="E65" s="64" t="s">
        <v>289</v>
      </c>
      <c r="F65" s="64" t="s">
        <v>290</v>
      </c>
    </row>
    <row r="66" spans="1:24" x14ac:dyDescent="0.15">
      <c r="C66" s="64" t="s">
        <v>287</v>
      </c>
      <c r="D66" s="64" t="s">
        <v>287</v>
      </c>
      <c r="E66" s="64" t="s">
        <v>287</v>
      </c>
      <c r="F66" s="64" t="s">
        <v>287</v>
      </c>
    </row>
    <row r="67" spans="1:24" x14ac:dyDescent="0.15">
      <c r="A67" s="53" t="s">
        <v>284</v>
      </c>
      <c r="B67" s="57">
        <f>+C9</f>
        <v>18600000</v>
      </c>
      <c r="C67" s="58">
        <f>+C9/C8*J61</f>
        <v>3734705.9109434863</v>
      </c>
      <c r="D67" s="74">
        <f>+C9/C8*K61</f>
        <v>41.496732343816511</v>
      </c>
      <c r="E67" s="74">
        <f>+C9/C8*U61</f>
        <v>10.37418308595413</v>
      </c>
      <c r="F67" s="74">
        <f>+C9/C8*V61</f>
        <v>4.1496732343816518</v>
      </c>
    </row>
    <row r="69" spans="1:24" x14ac:dyDescent="0.15">
      <c r="C69" s="105">
        <v>0.3</v>
      </c>
      <c r="D69" s="106">
        <v>75000</v>
      </c>
      <c r="E69" s="105">
        <v>0.75</v>
      </c>
      <c r="F69" s="105">
        <v>0.25</v>
      </c>
    </row>
    <row r="70" spans="1:24" x14ac:dyDescent="0.15">
      <c r="B70" s="64" t="s">
        <v>299</v>
      </c>
      <c r="C70" s="64" t="s">
        <v>301</v>
      </c>
      <c r="D70" s="64" t="s">
        <v>288</v>
      </c>
      <c r="E70" s="64" t="s">
        <v>289</v>
      </c>
      <c r="F70" s="64" t="s">
        <v>290</v>
      </c>
    </row>
    <row r="71" spans="1:24" x14ac:dyDescent="0.15">
      <c r="C71" s="64" t="s">
        <v>292</v>
      </c>
      <c r="D71" s="64" t="s">
        <v>293</v>
      </c>
      <c r="E71" s="64" t="s">
        <v>294</v>
      </c>
      <c r="F71" s="64" t="s">
        <v>295</v>
      </c>
    </row>
    <row r="72" spans="1:24" ht="16" x14ac:dyDescent="0.2">
      <c r="A72" s="59" t="s">
        <v>223</v>
      </c>
      <c r="B72" s="57">
        <f t="shared" ref="B72:B80" si="19">+C10</f>
        <v>80000000</v>
      </c>
      <c r="C72" s="58">
        <f>+$C$69*B72</f>
        <v>24000000</v>
      </c>
      <c r="D72" s="74">
        <f>+C72/$D$69</f>
        <v>320</v>
      </c>
      <c r="E72" s="63">
        <f t="shared" ref="E72:E80" si="20">+$E$69*D72</f>
        <v>240</v>
      </c>
      <c r="F72" s="63">
        <f>+$F$69*D72</f>
        <v>80</v>
      </c>
      <c r="W72" s="59" t="s">
        <v>233</v>
      </c>
      <c r="X72" s="59"/>
    </row>
    <row r="73" spans="1:24" ht="16" x14ac:dyDescent="0.2">
      <c r="A73" s="59" t="s">
        <v>224</v>
      </c>
      <c r="B73" s="57">
        <f t="shared" si="19"/>
        <v>120000000</v>
      </c>
      <c r="C73" s="58">
        <f>+$C$69*B73</f>
        <v>36000000</v>
      </c>
      <c r="D73" s="74">
        <f t="shared" ref="D73:D80" si="21">+C73/$D$69</f>
        <v>480</v>
      </c>
      <c r="E73" s="63">
        <f t="shared" si="20"/>
        <v>360</v>
      </c>
      <c r="F73" s="63">
        <f t="shared" ref="F73:F80" si="22">+$F$69*D73</f>
        <v>120</v>
      </c>
      <c r="W73" s="60"/>
      <c r="X73" s="60"/>
    </row>
    <row r="74" spans="1:24" ht="16" x14ac:dyDescent="0.2">
      <c r="A74" s="59" t="s">
        <v>225</v>
      </c>
      <c r="B74" s="57">
        <f t="shared" si="19"/>
        <v>34285714</v>
      </c>
      <c r="C74" s="58">
        <f>+$C$69*B74</f>
        <v>10285714.199999999</v>
      </c>
      <c r="D74" s="74">
        <f t="shared" si="21"/>
        <v>137.14285599999999</v>
      </c>
      <c r="E74" s="108">
        <f t="shared" si="20"/>
        <v>102.857142</v>
      </c>
      <c r="F74" s="108">
        <f t="shared" si="22"/>
        <v>34.285713999999999</v>
      </c>
      <c r="W74" s="60"/>
      <c r="X74" s="60"/>
    </row>
    <row r="75" spans="1:24" ht="16" x14ac:dyDescent="0.2">
      <c r="A75" s="59" t="s">
        <v>226</v>
      </c>
      <c r="B75" s="57">
        <f t="shared" si="19"/>
        <v>34285714</v>
      </c>
      <c r="C75" s="58">
        <f>+$C$69*B75</f>
        <v>10285714.199999999</v>
      </c>
      <c r="D75" s="74">
        <f t="shared" si="21"/>
        <v>137.14285599999999</v>
      </c>
      <c r="E75" s="108">
        <f t="shared" si="20"/>
        <v>102.857142</v>
      </c>
      <c r="F75" s="108">
        <f t="shared" si="22"/>
        <v>34.285713999999999</v>
      </c>
      <c r="W75" s="60"/>
      <c r="X75" s="60"/>
    </row>
    <row r="76" spans="1:24" ht="16" x14ac:dyDescent="0.2">
      <c r="A76" s="59" t="s">
        <v>227</v>
      </c>
      <c r="B76" s="57">
        <f t="shared" si="19"/>
        <v>80000000</v>
      </c>
      <c r="C76" s="58">
        <f>+$C$69*B76</f>
        <v>24000000</v>
      </c>
      <c r="D76" s="74">
        <f t="shared" si="21"/>
        <v>320</v>
      </c>
      <c r="E76" s="63">
        <f t="shared" si="20"/>
        <v>240</v>
      </c>
      <c r="F76" s="63">
        <f t="shared" si="22"/>
        <v>80</v>
      </c>
      <c r="W76" s="60"/>
      <c r="X76" s="60"/>
    </row>
    <row r="77" spans="1:24" ht="16" x14ac:dyDescent="0.2">
      <c r="A77" s="59" t="s">
        <v>228</v>
      </c>
      <c r="B77" s="57">
        <f t="shared" si="19"/>
        <v>40000000</v>
      </c>
      <c r="C77" s="58">
        <f>0*B77</f>
        <v>0</v>
      </c>
      <c r="D77" s="74">
        <f t="shared" si="21"/>
        <v>0</v>
      </c>
      <c r="E77" s="63">
        <f t="shared" si="20"/>
        <v>0</v>
      </c>
      <c r="F77" s="63">
        <f t="shared" si="22"/>
        <v>0</v>
      </c>
      <c r="W77" s="60"/>
      <c r="X77" s="60"/>
    </row>
    <row r="78" spans="1:24" ht="16" x14ac:dyDescent="0.2">
      <c r="A78" s="59" t="s">
        <v>229</v>
      </c>
      <c r="B78" s="57">
        <f t="shared" si="19"/>
        <v>40000000</v>
      </c>
      <c r="C78" s="58">
        <f>0*B78</f>
        <v>0</v>
      </c>
      <c r="D78" s="74">
        <f t="shared" si="21"/>
        <v>0</v>
      </c>
      <c r="E78" s="63">
        <f t="shared" si="20"/>
        <v>0</v>
      </c>
      <c r="F78" s="63">
        <f t="shared" si="22"/>
        <v>0</v>
      </c>
      <c r="W78" s="60"/>
      <c r="X78" s="60"/>
    </row>
    <row r="79" spans="1:24" ht="16" x14ac:dyDescent="0.2">
      <c r="A79" s="59" t="s">
        <v>251</v>
      </c>
      <c r="B79" s="57">
        <f t="shared" si="19"/>
        <v>150000000</v>
      </c>
      <c r="C79" s="58">
        <f>+$C$69*B79</f>
        <v>45000000</v>
      </c>
      <c r="D79" s="74">
        <f t="shared" si="21"/>
        <v>600</v>
      </c>
      <c r="E79" s="63">
        <f t="shared" si="20"/>
        <v>450</v>
      </c>
      <c r="F79" s="63">
        <f t="shared" si="22"/>
        <v>150</v>
      </c>
      <c r="W79" s="60"/>
      <c r="X79" s="60"/>
    </row>
    <row r="80" spans="1:24" ht="16" x14ac:dyDescent="0.2">
      <c r="A80" s="59" t="s">
        <v>231</v>
      </c>
      <c r="B80" s="57">
        <f t="shared" si="19"/>
        <v>50000000</v>
      </c>
      <c r="C80" s="58">
        <f>+$C$69*B80</f>
        <v>15000000</v>
      </c>
      <c r="D80" s="74">
        <f t="shared" si="21"/>
        <v>200</v>
      </c>
      <c r="E80" s="63">
        <f t="shared" si="20"/>
        <v>150</v>
      </c>
      <c r="F80" s="63">
        <f t="shared" si="22"/>
        <v>50</v>
      </c>
      <c r="W80" s="60"/>
      <c r="X80" s="60"/>
    </row>
    <row r="81" spans="1:24" x14ac:dyDescent="0.15">
      <c r="W81" s="60"/>
      <c r="X81" s="60"/>
    </row>
    <row r="82" spans="1:24" x14ac:dyDescent="0.15">
      <c r="W82" s="60"/>
      <c r="X82" s="60"/>
    </row>
    <row r="83" spans="1:24" x14ac:dyDescent="0.15">
      <c r="D83" s="107">
        <f>SUM(D72:D82)</f>
        <v>2194.2857119999999</v>
      </c>
      <c r="E83" s="107">
        <f>SUM(E72:E82)</f>
        <v>1645.7142839999999</v>
      </c>
      <c r="F83" s="107">
        <f>SUM(F72:F82)</f>
        <v>548.57142799999997</v>
      </c>
      <c r="W83" s="60"/>
      <c r="X83" s="60"/>
    </row>
    <row r="84" spans="1:24" x14ac:dyDescent="0.15">
      <c r="E84" s="117">
        <v>90000</v>
      </c>
      <c r="F84" s="105">
        <v>0.8</v>
      </c>
      <c r="W84" s="60"/>
      <c r="X84" s="60"/>
    </row>
    <row r="85" spans="1:24" ht="16" x14ac:dyDescent="0.2">
      <c r="A85" s="110" t="s">
        <v>257</v>
      </c>
      <c r="B85" s="64" t="s">
        <v>298</v>
      </c>
      <c r="C85" s="64" t="s">
        <v>301</v>
      </c>
      <c r="D85" s="64" t="s">
        <v>302</v>
      </c>
      <c r="E85" s="64" t="s">
        <v>289</v>
      </c>
      <c r="F85" s="64" t="s">
        <v>304</v>
      </c>
      <c r="W85" s="60"/>
      <c r="X85" s="60"/>
    </row>
    <row r="86" spans="1:24" x14ac:dyDescent="0.15">
      <c r="E86" s="64" t="s">
        <v>303</v>
      </c>
      <c r="F86" s="64" t="s">
        <v>305</v>
      </c>
      <c r="W86" s="60"/>
      <c r="X86" s="60"/>
    </row>
    <row r="87" spans="1:24" ht="16" x14ac:dyDescent="0.2">
      <c r="A87" s="59" t="s">
        <v>234</v>
      </c>
      <c r="B87" s="61">
        <f t="shared" ref="B87:B99" si="23">+C22</f>
        <v>90000000</v>
      </c>
      <c r="C87" s="115">
        <v>0.1</v>
      </c>
      <c r="D87" s="58">
        <f>+C87*B87</f>
        <v>9000000</v>
      </c>
      <c r="E87" s="118">
        <f>+D87/$E$84</f>
        <v>100</v>
      </c>
      <c r="F87" s="118">
        <f>+E87*$F$84</f>
        <v>80</v>
      </c>
      <c r="W87" s="60"/>
      <c r="X87" s="60"/>
    </row>
    <row r="88" spans="1:24" ht="16" x14ac:dyDescent="0.2">
      <c r="A88" s="59" t="s">
        <v>235</v>
      </c>
      <c r="B88" s="61">
        <f t="shared" si="23"/>
        <v>60000000</v>
      </c>
      <c r="C88" s="115"/>
      <c r="W88" s="60"/>
      <c r="X88" s="60"/>
    </row>
    <row r="89" spans="1:24" x14ac:dyDescent="0.15">
      <c r="A89" s="60" t="s">
        <v>236</v>
      </c>
      <c r="B89" s="61">
        <f t="shared" si="23"/>
        <v>150000000</v>
      </c>
      <c r="C89" s="115">
        <v>0.1</v>
      </c>
      <c r="D89" s="58">
        <f t="shared" ref="D89:D91" si="24">+C89*B89</f>
        <v>15000000</v>
      </c>
      <c r="E89" s="118">
        <f t="shared" ref="E89:E91" si="25">+D89/$E$84</f>
        <v>166.66666666666666</v>
      </c>
      <c r="F89" s="118">
        <f t="shared" ref="F89:F91" si="26">+E89*$F$84</f>
        <v>133.33333333333334</v>
      </c>
    </row>
    <row r="90" spans="1:24" x14ac:dyDescent="0.15">
      <c r="A90" s="60" t="s">
        <v>237</v>
      </c>
      <c r="B90" s="61">
        <f t="shared" si="23"/>
        <v>230400000</v>
      </c>
      <c r="C90" s="115">
        <v>0.1</v>
      </c>
      <c r="D90" s="58">
        <f t="shared" si="24"/>
        <v>23040000</v>
      </c>
      <c r="E90" s="118">
        <f t="shared" si="25"/>
        <v>256</v>
      </c>
      <c r="F90" s="118">
        <f t="shared" si="26"/>
        <v>204.8</v>
      </c>
    </row>
    <row r="91" spans="1:24" x14ac:dyDescent="0.15">
      <c r="A91" s="60" t="s">
        <v>238</v>
      </c>
      <c r="B91" s="61">
        <f t="shared" si="23"/>
        <v>48000000</v>
      </c>
      <c r="C91" s="115">
        <v>0.1</v>
      </c>
      <c r="D91" s="58">
        <f t="shared" si="24"/>
        <v>4800000</v>
      </c>
      <c r="E91" s="118">
        <f t="shared" si="25"/>
        <v>53.333333333333336</v>
      </c>
      <c r="F91" s="118">
        <f t="shared" si="26"/>
        <v>42.666666666666671</v>
      </c>
    </row>
    <row r="92" spans="1:24" x14ac:dyDescent="0.15">
      <c r="A92" s="60" t="s">
        <v>239</v>
      </c>
      <c r="B92" s="61">
        <f t="shared" si="23"/>
        <v>22500000</v>
      </c>
      <c r="C92" s="115"/>
    </row>
    <row r="93" spans="1:24" x14ac:dyDescent="0.15">
      <c r="A93" s="60" t="s">
        <v>240</v>
      </c>
      <c r="B93" s="61">
        <f t="shared" si="23"/>
        <v>37500000</v>
      </c>
      <c r="C93" s="115"/>
    </row>
    <row r="94" spans="1:24" x14ac:dyDescent="0.15">
      <c r="A94" s="60" t="s">
        <v>243</v>
      </c>
      <c r="B94" s="61">
        <f t="shared" si="23"/>
        <v>22860000</v>
      </c>
      <c r="C94" s="115">
        <v>0.2</v>
      </c>
      <c r="D94" s="58">
        <f t="shared" ref="D94:D95" si="27">+C94*B94</f>
        <v>4572000</v>
      </c>
      <c r="E94" s="118">
        <f t="shared" ref="E94:E95" si="28">+D94/$E$84</f>
        <v>50.8</v>
      </c>
      <c r="F94" s="118">
        <f t="shared" ref="F94:F95" si="29">+E94*$F$84</f>
        <v>40.64</v>
      </c>
    </row>
    <row r="95" spans="1:24" x14ac:dyDescent="0.15">
      <c r="A95" s="60" t="s">
        <v>244</v>
      </c>
      <c r="B95" s="61">
        <f t="shared" si="23"/>
        <v>0</v>
      </c>
      <c r="C95" s="115">
        <v>0.2</v>
      </c>
      <c r="D95" s="58">
        <f t="shared" si="27"/>
        <v>0</v>
      </c>
      <c r="E95" s="118">
        <f t="shared" si="28"/>
        <v>0</v>
      </c>
      <c r="F95" s="118">
        <f t="shared" si="29"/>
        <v>0</v>
      </c>
    </row>
    <row r="96" spans="1:24" x14ac:dyDescent="0.15">
      <c r="A96" s="60" t="s">
        <v>245</v>
      </c>
      <c r="B96" s="61">
        <f t="shared" si="23"/>
        <v>0</v>
      </c>
      <c r="C96" s="115"/>
      <c r="D96" s="58"/>
    </row>
    <row r="97" spans="1:6" x14ac:dyDescent="0.15">
      <c r="A97" s="60" t="s">
        <v>246</v>
      </c>
      <c r="B97" s="61">
        <f t="shared" si="23"/>
        <v>3459000000</v>
      </c>
      <c r="C97" s="115"/>
    </row>
    <row r="98" spans="1:6" x14ac:dyDescent="0.15">
      <c r="A98" s="60" t="s">
        <v>247</v>
      </c>
      <c r="B98" s="61">
        <f t="shared" si="23"/>
        <v>415080000</v>
      </c>
      <c r="C98" s="115"/>
    </row>
    <row r="99" spans="1:6" x14ac:dyDescent="0.15">
      <c r="A99" s="60" t="s">
        <v>241</v>
      </c>
      <c r="B99" s="61">
        <f t="shared" si="23"/>
        <v>25000000</v>
      </c>
      <c r="C99" s="115"/>
    </row>
    <row r="100" spans="1:6" ht="16" x14ac:dyDescent="0.2">
      <c r="A100" s="81" t="s">
        <v>242</v>
      </c>
      <c r="B100" s="82">
        <f>SUM(B87:B99)</f>
        <v>4560340000</v>
      </c>
      <c r="D100" s="116">
        <f>SUM(D87:D99)</f>
        <v>56412000</v>
      </c>
      <c r="E100" s="119">
        <f>SUM(E87:E99)</f>
        <v>626.79999999999995</v>
      </c>
      <c r="F100" s="119">
        <f>SUM(F87:F99)</f>
        <v>501.44</v>
      </c>
    </row>
  </sheetData>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PSAC Data</vt:lpstr>
      <vt:lpstr>Deep Well Injection</vt:lpstr>
      <vt:lpstr>No Deep Well Injection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aadil</dc:creator>
  <cp:lastModifiedBy>Microsoft Office User</cp:lastModifiedBy>
  <cp:lastPrinted>2016-04-04T14:52:21Z</cp:lastPrinted>
  <dcterms:created xsi:type="dcterms:W3CDTF">2015-10-21T19:29:32Z</dcterms:created>
  <dcterms:modified xsi:type="dcterms:W3CDTF">2016-05-25T11:22:57Z</dcterms:modified>
</cp:coreProperties>
</file>